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5135" windowHeight="9300" activeTab="3"/>
  </bookViews>
  <sheets>
    <sheet name="dipoles" sheetId="1" r:id="rId1"/>
    <sheet name="vacuum box" sheetId="2" r:id="rId2"/>
    <sheet name="focal plane" sheetId="3" r:id="rId3"/>
    <sheet name="tagger area" sheetId="4" r:id="rId4"/>
  </sheets>
  <definedNames/>
  <calcPr fullCalcOnLoad="1"/>
</workbook>
</file>

<file path=xl/sharedStrings.xml><?xml version="1.0" encoding="utf-8"?>
<sst xmlns="http://schemas.openxmlformats.org/spreadsheetml/2006/main" count="434" uniqueCount="190">
  <si>
    <t>corners of pole shoe for dipole 1 (vacuum-facing surface)</t>
  </si>
  <si>
    <t>corners of pole shoe for dipole 2 (vacuum-facing surface)</t>
  </si>
  <si>
    <t>length</t>
  </si>
  <si>
    <t>width</t>
  </si>
  <si>
    <t>angle</t>
  </si>
  <si>
    <t>x</t>
  </si>
  <si>
    <t>y</t>
  </si>
  <si>
    <t>z</t>
  </si>
  <si>
    <t>center x,z</t>
  </si>
  <si>
    <t>origin x,z</t>
  </si>
  <si>
    <t>center x', z'</t>
  </si>
  <si>
    <t xml:space="preserve">(these two points should be connected by using a arc, where its centre is -450.09833, +-3.8, 1456.29632, and the radius for the arc is 2020cm.) </t>
  </si>
  <si>
    <t>coordinates of the vertices of the vacuum box</t>
  </si>
  <si>
    <t>coordinates of the vertices of my approximation</t>
  </si>
  <si>
    <t>upstream</t>
  </si>
  <si>
    <t>downstream</t>
  </si>
  <si>
    <t>x width</t>
  </si>
  <si>
    <t>x angle</t>
  </si>
  <si>
    <t>z length</t>
  </si>
  <si>
    <t>origin x',z'</t>
  </si>
  <si>
    <t>back wall</t>
  </si>
  <si>
    <t>end wall</t>
  </si>
  <si>
    <t>window</t>
  </si>
  <si>
    <t>thickness</t>
  </si>
  <si>
    <t>porthole x'</t>
  </si>
  <si>
    <t>electron beam exit pipe</t>
  </si>
  <si>
    <t>port x,z</t>
  </si>
  <si>
    <t>photon beam exit pipe (drilled through second dipole yoke)</t>
  </si>
  <si>
    <t>photon beam exit pipe (between the two dipoles)</t>
  </si>
  <si>
    <t>photon beam exit pipe (after the second dipole)</t>
  </si>
  <si>
    <t>z ends</t>
  </si>
  <si>
    <t>z len, center</t>
  </si>
  <si>
    <t>z end</t>
  </si>
  <si>
    <t>z center</t>
  </si>
  <si>
    <t>center z'</t>
  </si>
  <si>
    <t>focal plane endpoints</t>
  </si>
  <si>
    <t>m1</t>
  </si>
  <si>
    <t>b1</t>
  </si>
  <si>
    <t>m2</t>
  </si>
  <si>
    <t>(</t>
  </si>
  <si>
    <t>first dipole pole leading edge</t>
  </si>
  <si>
    <t>b2</t>
  </si>
  <si>
    <t>intersection of focal plane line with entry plane to first dipole (my fp origin)</t>
  </si>
  <si>
    <t>distance from origin to Yang's midpoint</t>
  </si>
  <si>
    <t>z'=</t>
  </si>
  <si>
    <t>crossing angle</t>
  </si>
  <si>
    <t>microscope pitch</t>
  </si>
  <si>
    <t>fiber size</t>
  </si>
  <si>
    <t>length,ang</t>
  </si>
  <si>
    <t>box width</t>
  </si>
  <si>
    <t>box length</t>
  </si>
  <si>
    <t>width of main tagger hall</t>
  </si>
  <si>
    <t>length of main tagger hall</t>
  </si>
  <si>
    <t>height of main tagger hall</t>
  </si>
  <si>
    <t>width of beam dump passage</t>
  </si>
  <si>
    <t>length of beam dump passage</t>
  </si>
  <si>
    <t>height of beam dump passage</t>
  </si>
  <si>
    <t>beam distance from north wall</t>
  </si>
  <si>
    <t>beam height from floor</t>
  </si>
  <si>
    <t>beam offset in dump passage</t>
  </si>
  <si>
    <t>beam bend angle</t>
  </si>
  <si>
    <t>degrees</t>
  </si>
  <si>
    <t>goni distance from west wall</t>
  </si>
  <si>
    <t>goni distance to edump origin</t>
  </si>
  <si>
    <t>cm</t>
  </si>
  <si>
    <t>z of edump entrance face</t>
  </si>
  <si>
    <t>z of edump back wall</t>
  </si>
  <si>
    <t>tagger area midpoint in master coordinate system</t>
  </si>
  <si>
    <t>beam dump passage midpoint in edump coordinate system</t>
  </si>
  <si>
    <t>beam dump entry point in beam dump passage coordinate system</t>
  </si>
  <si>
    <t>vacuum pipe from vacuum box exit to edump passage</t>
  </si>
  <si>
    <t>vacuum pipe from entrance to edump passage to exit window</t>
  </si>
  <si>
    <t>z of edump passage start</t>
  </si>
  <si>
    <t>z of vacuum box exit</t>
  </si>
  <si>
    <t>z of vacuum pipe exit window</t>
  </si>
  <si>
    <t>origin of the above pipe in beam dump passage coordinates</t>
  </si>
  <si>
    <t>the parameters below were lifted from the beam dump geometry of Pavel Degtarnenko</t>
  </si>
  <si>
    <t xml:space="preserve">      cic</t>
  </si>
  <si>
    <t xml:space="preserve">      TunnISzX</t>
  </si>
  <si>
    <t xml:space="preserve">      TunnISzY</t>
  </si>
  <si>
    <t xml:space="preserve">      TunnISzZ</t>
  </si>
  <si>
    <t xml:space="preserve">      TunnWThS</t>
  </si>
  <si>
    <t xml:space="preserve">      TunnWThF</t>
  </si>
  <si>
    <t xml:space="preserve">      WLabThk</t>
  </si>
  <si>
    <t xml:space="preserve">      HousLen</t>
  </si>
  <si>
    <t xml:space="preserve">      WL1Dist</t>
  </si>
  <si>
    <t xml:space="preserve">      WL2Dist</t>
  </si>
  <si>
    <t xml:space="preserve">      WL3Dist</t>
  </si>
  <si>
    <t xml:space="preserve">      WL1Door</t>
  </si>
  <si>
    <t xml:space="preserve">      WL2Door</t>
  </si>
  <si>
    <t xml:space="preserve">      WL3Door</t>
  </si>
  <si>
    <t xml:space="preserve">      BdholeX</t>
  </si>
  <si>
    <t xml:space="preserve">      BdholeY</t>
  </si>
  <si>
    <t xml:space="preserve">      BdholeZ</t>
  </si>
  <si>
    <t xml:space="preserve">      CWBDDist</t>
  </si>
  <si>
    <t xml:space="preserve">      CWWDist</t>
  </si>
  <si>
    <t xml:space="preserve">      CWEnDist</t>
  </si>
  <si>
    <t xml:space="preserve">      CWExDist</t>
  </si>
  <si>
    <t xml:space="preserve">      CWThick</t>
  </si>
  <si>
    <t xml:space="preserve">      CWDiam</t>
  </si>
  <si>
    <t xml:space="preserve">      CW2Th</t>
  </si>
  <si>
    <t xml:space="preserve">      CWFlTh</t>
  </si>
  <si>
    <t xml:space="preserve">      CWinDia</t>
  </si>
  <si>
    <t xml:space="preserve">      CWoutDia</t>
  </si>
  <si>
    <t xml:space="preserve">      CWFlDi</t>
  </si>
  <si>
    <t xml:space="preserve">      FSLeng</t>
  </si>
  <si>
    <t xml:space="preserve">      FSinDia</t>
  </si>
  <si>
    <t xml:space="preserve">      FSoutDia</t>
  </si>
  <si>
    <t xml:space="preserve">      FSFlDi</t>
  </si>
  <si>
    <t xml:space="preserve">      FSFlTh</t>
  </si>
  <si>
    <t xml:space="preserve">      FSEFlTh</t>
  </si>
  <si>
    <t xml:space="preserve">      FSEFlDi</t>
  </si>
  <si>
    <t xml:space="preserve">      FSWCinD</t>
  </si>
  <si>
    <t xml:space="preserve">      FSWCThk</t>
  </si>
  <si>
    <t xml:space="preserve">      ACSLeng</t>
  </si>
  <si>
    <t xml:space="preserve">      ACSDiam</t>
  </si>
  <si>
    <t xml:space="preserve">      ACHLeng</t>
  </si>
  <si>
    <t xml:space="preserve">      ACHDiam</t>
  </si>
  <si>
    <t xml:space="preserve">      ACWCinD</t>
  </si>
  <si>
    <t xml:space="preserve">      ACWCThk</t>
  </si>
  <si>
    <t xml:space="preserve">      CESdiam</t>
  </si>
  <si>
    <t xml:space="preserve">      CESleng</t>
  </si>
  <si>
    <t xml:space="preserve">      CESgap</t>
  </si>
  <si>
    <t xml:space="preserve">      CEWCinD</t>
  </si>
  <si>
    <t xml:space="preserve">      CEWCThk</t>
  </si>
  <si>
    <t xml:space="preserve">      TunnDist</t>
  </si>
  <si>
    <t xml:space="preserve">      BeamElev  </t>
  </si>
  <si>
    <t>inch to centimeter conversion factor</t>
  </si>
  <si>
    <t>in</t>
  </si>
  <si>
    <t xml:space="preserve">Tunnel inside width </t>
  </si>
  <si>
    <t xml:space="preserve">Tunnel inside height (=450 cm from the tagger AREA) </t>
  </si>
  <si>
    <t>Tunnel inside length 2x(window to wall)</t>
  </si>
  <si>
    <t>Tunnel walls thickness (front)</t>
  </si>
  <si>
    <t>Tunnel walls thickness (sides)</t>
  </si>
  <si>
    <t>Beam elevation above floor</t>
  </si>
  <si>
    <t>Labyrinth wall thickness</t>
  </si>
  <si>
    <t xml:space="preserve">      WLabHgt</t>
  </si>
  <si>
    <t>Labyrinth wall height</t>
  </si>
  <si>
    <t>Iron House length</t>
  </si>
  <si>
    <t xml:space="preserve">      HousHgt</t>
  </si>
  <si>
    <t>Iron House height</t>
  </si>
  <si>
    <t>Distance to first Lab Wall (fr. iron)</t>
  </si>
  <si>
    <t>Distance to second Lab Wall (fr. 1st)</t>
  </si>
  <si>
    <t>Distance to second Lab Wall (fr. 1st back)</t>
  </si>
  <si>
    <t>Door width in 1st Lab Wall</t>
  </si>
  <si>
    <t>Door width in 2nd Lab Wall</t>
  </si>
  <si>
    <t>Hole For The Beam Dump size - X</t>
  </si>
  <si>
    <t>Hole For The Beam Dump size - Y</t>
  </si>
  <si>
    <t>Hole For The Beam Dump size - Z</t>
  </si>
  <si>
    <t>Dist from mid-wind to BD end wall</t>
  </si>
  <si>
    <t>Dist from mid-wind to windows'centers</t>
  </si>
  <si>
    <t>Dist from entrance to mid-wind Cu Win</t>
  </si>
  <si>
    <t>Dist from mid-wind Cu Win to exit CuW</t>
  </si>
  <si>
    <t>Copper Window Thicknesses</t>
  </si>
  <si>
    <t>Copper Window Diams (3cm)</t>
  </si>
  <si>
    <t>Copper Window (thick part) Thicknesses</t>
  </si>
  <si>
    <t>Copper Window Flange Thickness</t>
  </si>
  <si>
    <t>Copper Window Weldment inner diam</t>
  </si>
  <si>
    <t>Copper Window Weldment outer diam</t>
  </si>
  <si>
    <t>Copper Window Weldment Flange out diam</t>
  </si>
  <si>
    <t>Front Section Weldment Length</t>
  </si>
  <si>
    <t>Front Section inner diameter</t>
  </si>
  <si>
    <t>Front Section outer diameter</t>
  </si>
  <si>
    <t>Front Section Flange out diam</t>
  </si>
  <si>
    <t>Front Section Flange thick</t>
  </si>
  <si>
    <t>Front Section entrance Flange thick</t>
  </si>
  <si>
    <t>Front Sect entr. Flange inner diam</t>
  </si>
  <si>
    <t>Front Sect Water Cylinder inner diam</t>
  </si>
  <si>
    <t>Front Sect Water Cylinder thick</t>
  </si>
  <si>
    <t>Al Center Section Length</t>
  </si>
  <si>
    <t>Al Center Section Diameter</t>
  </si>
  <si>
    <t>Al Center Section Hole Length</t>
  </si>
  <si>
    <t>Al Center Section Hole Diameter</t>
  </si>
  <si>
    <t>Al Center Sect Water Cylinder inner diam</t>
  </si>
  <si>
    <t>Al Center Sect Water Cylinder thick</t>
  </si>
  <si>
    <t>Copper End Section Diam - X,Y</t>
  </si>
  <si>
    <t>Copper End Section Length - Z</t>
  </si>
  <si>
    <t>Gap between Al &amp; Cu Sections</t>
  </si>
  <si>
    <t>Copper End Water Cylinder inner diam</t>
  </si>
  <si>
    <t>Copper End Water Cylinder thick</t>
  </si>
  <si>
    <t xml:space="preserve">Distance from the center of the EDUT volume to the center of TUNC </t>
  </si>
  <si>
    <t>Door width in 3rd Lab Wall</t>
  </si>
  <si>
    <t>height</t>
  </si>
  <si>
    <t>first labyrinth wall</t>
  </si>
  <si>
    <t>second labyrinth wall</t>
  </si>
  <si>
    <t>third labyrinth wall</t>
  </si>
  <si>
    <t>entry face</t>
  </si>
  <si>
    <t>iron house</t>
  </si>
  <si>
    <t>x offset</t>
  </si>
  <si>
    <t>door width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</si>
</sst>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 horizontal="right"/>
    </xf>
    <xf numFmtId="165" fontId="0" fillId="0" borderId="7" xfId="0" applyNumberForma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025"/>
          <c:h val="0.92375"/>
        </c:manualLayout>
      </c:layout>
      <c:scatterChart>
        <c:scatterStyle val="line"/>
        <c:varyColors val="0"/>
        <c:ser>
          <c:idx val="0"/>
          <c:order val="0"/>
          <c:tx>
            <c:v>vacuum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'vacuum box'!$C$3:$C$15</c:f>
              <c:numCache/>
            </c:numRef>
          </c:xVal>
          <c:yVal>
            <c:numRef>
              <c:f>'vacuum box'!$A$3:$A$15</c:f>
              <c:numCache/>
            </c:numRef>
          </c:yVal>
          <c:smooth val="0"/>
        </c:ser>
        <c:ser>
          <c:idx val="1"/>
          <c:order val="1"/>
          <c:tx>
            <c:v>my approx volume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'vacuum box'!$C$19:$C$23</c:f>
              <c:numCache/>
            </c:numRef>
          </c:xVal>
          <c:yVal>
            <c:numRef>
              <c:f>'vacuum box'!$A$19:$A$23</c:f>
              <c:numCache/>
            </c:numRef>
          </c:yVal>
          <c:smooth val="0"/>
        </c:ser>
        <c:ser>
          <c:idx val="2"/>
          <c:order val="2"/>
          <c:tx>
            <c:v>my approx volume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'vacuum box'!$C$28:$C$32</c:f>
              <c:numCache/>
            </c:numRef>
          </c:xVal>
          <c:yVal>
            <c:numRef>
              <c:f>'vacuum box'!$A$28:$A$32</c:f>
              <c:numCache/>
            </c:numRef>
          </c:yVal>
          <c:smooth val="0"/>
        </c:ser>
        <c:ser>
          <c:idx val="3"/>
          <c:order val="3"/>
          <c:tx>
            <c:v>my approx volume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'vacuum box'!$C$37:$C$41</c:f>
              <c:numCache/>
            </c:numRef>
          </c:xVal>
          <c:yVal>
            <c:numRef>
              <c:f>'vacuum box'!$A$37:$A$41</c:f>
              <c:numCache/>
            </c:numRef>
          </c:yVal>
          <c:smooth val="0"/>
        </c:ser>
        <c:ser>
          <c:idx val="4"/>
          <c:order val="4"/>
          <c:tx>
            <c:v>my approx volume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'vacuum box'!$C$46:$C$50</c:f>
              <c:numCache/>
            </c:numRef>
          </c:xVal>
          <c:yVal>
            <c:numRef>
              <c:f>'vacuum box'!$A$46:$A$50</c:f>
              <c:numCache/>
            </c:numRef>
          </c:yVal>
          <c:smooth val="0"/>
        </c:ser>
        <c:axId val="36479226"/>
        <c:axId val="59877579"/>
      </c:scatterChart>
      <c:valAx>
        <c:axId val="3647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77579"/>
        <c:crosses val="autoZero"/>
        <c:crossBetween val="midCat"/>
        <c:dispUnits/>
      </c:valAx>
      <c:valAx>
        <c:axId val="59877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79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0</xdr:rowOff>
    </xdr:from>
    <xdr:to>
      <xdr:col>19</xdr:col>
      <xdr:colOff>323850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009900" y="0"/>
        <a:ext cx="88963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" sqref="A2:C6"/>
    </sheetView>
  </sheetViews>
  <sheetFormatPr defaultColWidth="9.140625" defaultRowHeight="12.75"/>
  <cols>
    <col min="1" max="1" width="11.28125" style="0" customWidth="1"/>
    <col min="7" max="7" width="10.57421875" style="0" customWidth="1"/>
  </cols>
  <sheetData>
    <row r="1" spans="1:7" ht="12.75">
      <c r="A1" t="s">
        <v>0</v>
      </c>
      <c r="G1" t="s">
        <v>1</v>
      </c>
    </row>
    <row r="2" spans="1:9" ht="12.75">
      <c r="A2" s="1" t="s">
        <v>5</v>
      </c>
      <c r="B2" s="1" t="s">
        <v>6</v>
      </c>
      <c r="C2" s="1" t="s">
        <v>7</v>
      </c>
      <c r="G2" s="1" t="s">
        <v>5</v>
      </c>
      <c r="H2" s="1" t="s">
        <v>6</v>
      </c>
      <c r="I2" s="1" t="s">
        <v>7</v>
      </c>
    </row>
    <row r="3" spans="1:9" ht="12.75">
      <c r="A3">
        <v>27.94725</v>
      </c>
      <c r="B3">
        <v>1.5</v>
      </c>
      <c r="C3">
        <v>305.40349</v>
      </c>
      <c r="G3">
        <v>-17.09296</v>
      </c>
      <c r="H3">
        <v>1.5</v>
      </c>
      <c r="I3">
        <v>653.80816</v>
      </c>
    </row>
    <row r="4" spans="1:9" ht="12.75">
      <c r="A4">
        <v>-16.81438</v>
      </c>
      <c r="B4">
        <v>1.5</v>
      </c>
      <c r="C4">
        <v>300.77783</v>
      </c>
      <c r="G4">
        <v>-61.77715</v>
      </c>
      <c r="H4">
        <v>1.5</v>
      </c>
      <c r="I4">
        <v>648.48622</v>
      </c>
    </row>
    <row r="5" spans="1:9" ht="12.75">
      <c r="A5">
        <v>-48.31642</v>
      </c>
      <c r="B5">
        <v>1.5</v>
      </c>
      <c r="C5">
        <v>605.61679</v>
      </c>
      <c r="G5">
        <v>-98.02102</v>
      </c>
      <c r="H5">
        <v>1.5</v>
      </c>
      <c r="I5">
        <v>952.79783</v>
      </c>
    </row>
    <row r="6" spans="1:9" ht="12.75">
      <c r="A6">
        <v>-3.55479</v>
      </c>
      <c r="B6">
        <v>1.5</v>
      </c>
      <c r="C6">
        <v>610.24242</v>
      </c>
      <c r="G6">
        <v>-53.33682</v>
      </c>
      <c r="H6">
        <v>1.5</v>
      </c>
      <c r="I6">
        <v>958.11976</v>
      </c>
    </row>
    <row r="8" spans="1:9" ht="12.75">
      <c r="A8" s="11" t="s">
        <v>2</v>
      </c>
      <c r="B8" s="11">
        <f>SQRT((A3-A4)^2+(C3-C4)^2)</f>
        <v>45.000002785472134</v>
      </c>
      <c r="C8" s="11">
        <f>SQRT((A6-A5)^2+(C6-C5)^2)</f>
        <v>44.999999701708894</v>
      </c>
      <c r="D8" s="11"/>
      <c r="E8" s="11"/>
      <c r="F8" s="11"/>
      <c r="G8" s="11" t="s">
        <v>2</v>
      </c>
      <c r="H8" s="11">
        <f>SQRT((G3-G4)^2+(I3-I4)^2)</f>
        <v>44.999998681329984</v>
      </c>
      <c r="I8" s="11">
        <f>SQRT((G6-G5)^2+(I6-I5)^2)</f>
        <v>45.00000742849827</v>
      </c>
    </row>
    <row r="9" spans="1:9" ht="12.75">
      <c r="A9" s="11" t="s">
        <v>3</v>
      </c>
      <c r="B9" s="11">
        <f>SQRT((A4-A5)^2+(C4-C5)^2)</f>
        <v>306.46234688464295</v>
      </c>
      <c r="C9" s="11">
        <f>SQRT((A3-A6)^2+(C3-C6)^2)</f>
        <v>306.46231704355847</v>
      </c>
      <c r="D9" s="11"/>
      <c r="E9" s="11"/>
      <c r="F9" s="11"/>
      <c r="G9" s="11" t="s">
        <v>3</v>
      </c>
      <c r="H9" s="11">
        <f>SQRT((G4-G5)^2+(I4-I5)^2)</f>
        <v>306.4623534683648</v>
      </c>
      <c r="I9" s="11">
        <f>SQRT((G3-G6)^2+(I3-I6)^2)</f>
        <v>306.4623423558914</v>
      </c>
    </row>
    <row r="10" spans="1:9" ht="12.75">
      <c r="A10" s="11" t="s">
        <v>4</v>
      </c>
      <c r="B10" s="11">
        <f>DEGREES(ATAN2(A3-A4,C3-C4))</f>
        <v>5.899994314468951</v>
      </c>
      <c r="C10" s="11">
        <f>DEGREES(ATAN2(A6-A5,C6-C5))</f>
        <v>5.899956319619473</v>
      </c>
      <c r="D10" s="11"/>
      <c r="E10" s="11"/>
      <c r="F10" s="11"/>
      <c r="G10" s="11" t="s">
        <v>4</v>
      </c>
      <c r="H10" s="11">
        <f>DEGREES(ATAN2(G3-G4,I3-I4))</f>
        <v>6.792000795460918</v>
      </c>
      <c r="I10" s="11">
        <f>DEGREES(ATAN2(G6-G5,I6-I5))</f>
        <v>6.7919866466223855</v>
      </c>
    </row>
    <row r="11" spans="1:9" ht="12.75">
      <c r="A11" s="11" t="s">
        <v>8</v>
      </c>
      <c r="B11" s="11">
        <f>AVERAGE(A3:A6)</f>
        <v>-10.184584999999998</v>
      </c>
      <c r="C11" s="11">
        <f>AVERAGE(C3:C6)</f>
        <v>455.5101325</v>
      </c>
      <c r="D11" s="11"/>
      <c r="E11" s="11"/>
      <c r="F11" s="11"/>
      <c r="G11" s="11" t="s">
        <v>8</v>
      </c>
      <c r="H11" s="11">
        <f>AVERAGE(G3:G6)</f>
        <v>-57.55698749999999</v>
      </c>
      <c r="I11" s="11">
        <f>AVERAGE(I3:I6)</f>
        <v>803.3029925</v>
      </c>
    </row>
    <row r="12" spans="1:9" ht="12.75">
      <c r="A12" s="11" t="s">
        <v>9</v>
      </c>
      <c r="B12" s="11">
        <v>0</v>
      </c>
      <c r="C12" s="11">
        <f>C3-A3*(C4-C3)/(A4-A3)</f>
        <v>302.51542545822616</v>
      </c>
      <c r="D12" s="11"/>
      <c r="E12" s="11"/>
      <c r="F12" s="11"/>
      <c r="G12" s="11" t="s">
        <v>9</v>
      </c>
      <c r="H12" s="11">
        <v>0</v>
      </c>
      <c r="I12" s="11">
        <f>C12</f>
        <v>302.51542545822616</v>
      </c>
    </row>
    <row r="13" spans="1:9" ht="12.75">
      <c r="A13" s="11" t="s">
        <v>10</v>
      </c>
      <c r="B13" s="11">
        <f>B11-B12</f>
        <v>-10.184584999999998</v>
      </c>
      <c r="C13" s="11">
        <f>C11-C12</f>
        <v>152.99470704177384</v>
      </c>
      <c r="D13" s="11"/>
      <c r="E13" s="11"/>
      <c r="F13" s="11"/>
      <c r="G13" s="11" t="s">
        <v>10</v>
      </c>
      <c r="H13" s="11">
        <f>H11-H12</f>
        <v>-57.55698749999999</v>
      </c>
      <c r="I13" s="11">
        <f>I11-I12</f>
        <v>500.7875670417738</v>
      </c>
    </row>
    <row r="17" ht="12.75">
      <c r="A17" t="s">
        <v>27</v>
      </c>
    </row>
    <row r="18" spans="1:3" ht="12.75">
      <c r="A18" t="s">
        <v>2</v>
      </c>
      <c r="B18">
        <f>I9/COS(RADIANS(B19))</f>
        <v>308.6282866913871</v>
      </c>
      <c r="C18" t="s">
        <v>39</v>
      </c>
    </row>
    <row r="19" spans="1:2" ht="12.75">
      <c r="A19" t="s">
        <v>4</v>
      </c>
      <c r="B19">
        <f>H10</f>
        <v>6.792000795460918</v>
      </c>
    </row>
    <row r="20" spans="1:2" ht="12.75">
      <c r="A20" t="s">
        <v>19</v>
      </c>
      <c r="B20">
        <f>-H13/COS(RADIANS(B19))-62.5</f>
        <v>-4.536224409543372</v>
      </c>
    </row>
    <row r="22" ht="12.75">
      <c r="A22" t="s">
        <v>28</v>
      </c>
    </row>
    <row r="23" spans="1:3" ht="12.75">
      <c r="A23" t="s">
        <v>30</v>
      </c>
      <c r="B23">
        <v>600</v>
      </c>
      <c r="C23">
        <f>I3+(I4-I3)*(0-G3)/(G4-G3)</f>
        <v>655.843951798898</v>
      </c>
    </row>
    <row r="24" spans="1:3" ht="12.75">
      <c r="A24" t="s">
        <v>31</v>
      </c>
      <c r="B24">
        <f>C23-B23</f>
        <v>55.84395179889805</v>
      </c>
      <c r="C24">
        <f>AVERAGE(B23:C23)</f>
        <v>627.9219758994491</v>
      </c>
    </row>
    <row r="25" spans="1:3" ht="12.75">
      <c r="A25" t="s">
        <v>34</v>
      </c>
      <c r="C25">
        <f>C24-'vacuum box'!C19</f>
        <v>325.4067758994491</v>
      </c>
    </row>
    <row r="27" ht="12.75">
      <c r="A27" t="s">
        <v>29</v>
      </c>
    </row>
    <row r="28" spans="1:2" ht="12.75">
      <c r="A28" t="s">
        <v>2</v>
      </c>
      <c r="B28">
        <v>2000</v>
      </c>
    </row>
    <row r="29" spans="1:2" ht="12.75">
      <c r="A29" t="s">
        <v>32</v>
      </c>
      <c r="B29">
        <f>I5+(I6-I5)*(0-G5)/(G6-G5)</f>
        <v>964.4722251322527</v>
      </c>
    </row>
    <row r="30" spans="1:2" ht="12.75">
      <c r="A30" t="s">
        <v>33</v>
      </c>
      <c r="B30">
        <f>B29+B28/2</f>
        <v>1964.4722251322528</v>
      </c>
    </row>
    <row r="31" spans="1:2" ht="12.75">
      <c r="A31" t="s">
        <v>34</v>
      </c>
      <c r="B31">
        <f>B30-'vacuum box'!C19</f>
        <v>1661.9570251322527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51">
      <selection activeCell="C66" sqref="C66"/>
    </sheetView>
  </sheetViews>
  <sheetFormatPr defaultColWidth="9.140625" defaultRowHeight="12.75"/>
  <sheetData>
    <row r="1" ht="12.75">
      <c r="A1" t="s">
        <v>12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>
        <v>29.59349</v>
      </c>
      <c r="B3">
        <v>3.8</v>
      </c>
      <c r="C3">
        <v>304.6563</v>
      </c>
    </row>
    <row r="4" spans="1:3" ht="12.75">
      <c r="A4">
        <v>-18.15224</v>
      </c>
      <c r="B4">
        <v>3.8</v>
      </c>
      <c r="C4">
        <v>299.13159</v>
      </c>
    </row>
    <row r="5" spans="1:3" ht="12.75">
      <c r="A5">
        <v>-25.29826</v>
      </c>
      <c r="B5">
        <v>3.8</v>
      </c>
      <c r="C5">
        <v>368.28216</v>
      </c>
    </row>
    <row r="6" spans="1:3" ht="12.75">
      <c r="A6">
        <v>-66.46648</v>
      </c>
      <c r="B6">
        <v>3.8</v>
      </c>
      <c r="C6">
        <v>408.45884</v>
      </c>
    </row>
    <row r="7" spans="1:7" ht="12.75">
      <c r="A7" s="12">
        <v>-244.06346</v>
      </c>
      <c r="B7" s="12">
        <v>3.8</v>
      </c>
      <c r="C7" s="13">
        <v>1421.41258</v>
      </c>
      <c r="D7" s="26" t="s">
        <v>11</v>
      </c>
      <c r="E7" s="27"/>
      <c r="F7" s="27"/>
      <c r="G7" s="28"/>
    </row>
    <row r="8" spans="1:7" ht="12.75">
      <c r="A8" s="12">
        <v>-230.06929</v>
      </c>
      <c r="B8" s="12">
        <v>3.8</v>
      </c>
      <c r="C8" s="13">
        <v>1537.47241</v>
      </c>
      <c r="D8" s="29"/>
      <c r="E8" s="30"/>
      <c r="F8" s="30"/>
      <c r="G8" s="31"/>
    </row>
    <row r="9" spans="1:7" ht="12.75">
      <c r="A9">
        <v>-212.54711</v>
      </c>
      <c r="B9">
        <v>3.8</v>
      </c>
      <c r="C9">
        <v>1540.5432</v>
      </c>
      <c r="D9" s="29"/>
      <c r="E9" s="30"/>
      <c r="F9" s="30"/>
      <c r="G9" s="31"/>
    </row>
    <row r="10" spans="1:7" ht="12.75">
      <c r="A10">
        <v>-73.57978</v>
      </c>
      <c r="B10">
        <v>3.8</v>
      </c>
      <c r="C10">
        <v>957.21941</v>
      </c>
      <c r="D10" s="29"/>
      <c r="E10" s="30"/>
      <c r="F10" s="30"/>
      <c r="G10" s="31"/>
    </row>
    <row r="11" spans="1:7" ht="12.75">
      <c r="A11">
        <v>-52.02475</v>
      </c>
      <c r="B11">
        <v>3.8</v>
      </c>
      <c r="C11">
        <v>959.78664</v>
      </c>
      <c r="D11" s="32"/>
      <c r="E11" s="33"/>
      <c r="F11" s="33"/>
      <c r="G11" s="34"/>
    </row>
    <row r="12" spans="1:3" ht="12.75">
      <c r="A12">
        <v>-15.42608</v>
      </c>
      <c r="B12">
        <v>3.8</v>
      </c>
      <c r="C12">
        <v>652.49608</v>
      </c>
    </row>
    <row r="13" spans="1:3" ht="12.75">
      <c r="A13">
        <v>-2.21693</v>
      </c>
      <c r="B13">
        <v>3.8</v>
      </c>
      <c r="C13">
        <v>611.8887</v>
      </c>
    </row>
    <row r="14" spans="1:3" ht="12.75">
      <c r="A14">
        <v>29.59349</v>
      </c>
      <c r="B14">
        <v>3.8</v>
      </c>
      <c r="C14">
        <v>304.6563</v>
      </c>
    </row>
    <row r="17" ht="12.75">
      <c r="A17" t="s">
        <v>13</v>
      </c>
    </row>
    <row r="18" spans="1:12" ht="12.75">
      <c r="A18" s="15" t="s">
        <v>5</v>
      </c>
      <c r="B18" s="16" t="s">
        <v>6</v>
      </c>
      <c r="C18" s="16" t="s">
        <v>7</v>
      </c>
      <c r="D18" s="3"/>
      <c r="E18" s="3"/>
      <c r="F18" s="17" t="s">
        <v>14</v>
      </c>
      <c r="G18" s="18" t="s">
        <v>15</v>
      </c>
      <c r="H18" s="3"/>
      <c r="I18" s="3" t="s">
        <v>21</v>
      </c>
      <c r="J18" s="3" t="s">
        <v>2</v>
      </c>
      <c r="K18" s="3">
        <f>A19-A20</f>
        <v>77.48531079176489</v>
      </c>
      <c r="L18" s="4"/>
    </row>
    <row r="19" spans="1:12" ht="12.75">
      <c r="A19" s="5">
        <v>29.59349</v>
      </c>
      <c r="B19" s="6">
        <v>3.8</v>
      </c>
      <c r="C19" s="6">
        <v>302.5152</v>
      </c>
      <c r="D19" s="6"/>
      <c r="E19" s="6" t="s">
        <v>7</v>
      </c>
      <c r="F19" s="6">
        <f>C19</f>
        <v>302.5152</v>
      </c>
      <c r="G19" s="6">
        <f>C21</f>
        <v>600</v>
      </c>
      <c r="H19" s="6"/>
      <c r="I19" s="6"/>
      <c r="J19" s="6" t="s">
        <v>19</v>
      </c>
      <c r="K19" s="6">
        <f>AVERAGE(A19:A20)-F23</f>
        <v>19.187566687659547</v>
      </c>
      <c r="L19" s="7">
        <f>-G23+K20/2</f>
        <v>-148.24240000000003</v>
      </c>
    </row>
    <row r="20" spans="1:12" ht="12.75">
      <c r="A20" s="5">
        <f>A$6+(A$7-A$6)*(C20-C$6)/(C$7-C$6)</f>
        <v>-47.891820791764886</v>
      </c>
      <c r="B20" s="6">
        <v>3.8</v>
      </c>
      <c r="C20" s="6">
        <v>302.5152</v>
      </c>
      <c r="D20" s="6"/>
      <c r="E20" s="6" t="s">
        <v>16</v>
      </c>
      <c r="F20" s="6">
        <f>A19-A20</f>
        <v>77.48531079176489</v>
      </c>
      <c r="G20" s="6">
        <f>A22-A21</f>
        <v>105.04859754240307</v>
      </c>
      <c r="H20" s="6"/>
      <c r="I20" s="6"/>
      <c r="J20" s="6" t="s">
        <v>23</v>
      </c>
      <c r="K20" s="6">
        <v>1</v>
      </c>
      <c r="L20" s="7"/>
    </row>
    <row r="21" spans="1:12" ht="12.75">
      <c r="A21" s="5">
        <f>A$6+(A$7-A$6)*(C21-C$6)/(C$7-C$6)</f>
        <v>-100.04859754240307</v>
      </c>
      <c r="B21" s="6">
        <v>3.8</v>
      </c>
      <c r="C21" s="6">
        <v>600</v>
      </c>
      <c r="D21" s="6"/>
      <c r="E21" s="6" t="s">
        <v>17</v>
      </c>
      <c r="F21" s="6">
        <f>DEGREES(ATAN2(G19-F19,AVERAGE(A21:A22)-AVERAGE(A19:A20)))</f>
        <v>-7.350484486957142</v>
      </c>
      <c r="G21" s="6"/>
      <c r="H21" s="6"/>
      <c r="I21" s="6" t="s">
        <v>20</v>
      </c>
      <c r="J21" s="6" t="s">
        <v>2</v>
      </c>
      <c r="K21" s="6">
        <f>SQRT((C22-C23)^2+(A22-A23)^2)</f>
        <v>298.49965826013954</v>
      </c>
      <c r="L21" s="7"/>
    </row>
    <row r="22" spans="1:12" ht="12.75">
      <c r="A22" s="5">
        <v>5</v>
      </c>
      <c r="B22" s="6">
        <v>3.8</v>
      </c>
      <c r="C22" s="6">
        <v>600</v>
      </c>
      <c r="D22" s="6"/>
      <c r="E22" s="6" t="s">
        <v>18</v>
      </c>
      <c r="F22" s="6">
        <f>G19-F19</f>
        <v>297.4848</v>
      </c>
      <c r="G22" s="6"/>
      <c r="H22" s="6"/>
      <c r="I22" s="6"/>
      <c r="J22" s="6" t="s">
        <v>4</v>
      </c>
      <c r="K22" s="6">
        <f>DEGREES(ATAN2(C22-C23,A22-A23))</f>
        <v>-4.7259761815691705</v>
      </c>
      <c r="L22" s="7"/>
    </row>
    <row r="23" spans="1:12" ht="12.75">
      <c r="A23" s="8">
        <v>29.59349</v>
      </c>
      <c r="B23" s="9">
        <v>3.8</v>
      </c>
      <c r="C23" s="9">
        <v>302.5152</v>
      </c>
      <c r="D23" s="9"/>
      <c r="E23" s="9" t="s">
        <v>19</v>
      </c>
      <c r="F23" s="9">
        <f>AVERAGE(A19:A22)</f>
        <v>-28.33673208354199</v>
      </c>
      <c r="G23" s="9">
        <f>AVERAGE(F19,G19)-C$19</f>
        <v>148.74240000000003</v>
      </c>
      <c r="H23" s="9"/>
      <c r="I23" s="9"/>
      <c r="J23" s="9" t="s">
        <v>19</v>
      </c>
      <c r="K23" s="9">
        <f>AVERAGE(A22:A23)-F23-0.5</f>
        <v>45.13347708354199</v>
      </c>
      <c r="L23" s="10">
        <f>AVERAGE(C22:C23)-G23-C$19</f>
        <v>0</v>
      </c>
    </row>
    <row r="24" spans="9:11" ht="12.75">
      <c r="I24" t="s">
        <v>22</v>
      </c>
      <c r="J24" s="14" t="s">
        <v>2</v>
      </c>
      <c r="K24">
        <f>SQRT((A20-A21)^2+(C20-C21)^2)</f>
        <v>302.0224090892196</v>
      </c>
    </row>
    <row r="25" spans="1:11" ht="12.75">
      <c r="A25" t="s">
        <v>24</v>
      </c>
      <c r="B25">
        <f>AVERAGE(A19:A20)</f>
        <v>-9.149165395882443</v>
      </c>
      <c r="J25" s="14" t="s">
        <v>4</v>
      </c>
      <c r="K25">
        <f>DEGREES(ATAN2(C21-C20,A21-A20))</f>
        <v>-9.944359808220133</v>
      </c>
    </row>
    <row r="26" spans="10:12" ht="12.75">
      <c r="J26" s="14" t="s">
        <v>19</v>
      </c>
      <c r="K26">
        <f>AVERAGE(A20:A21)+0.3-F23</f>
        <v>-45.33347708354199</v>
      </c>
      <c r="L26">
        <v>0</v>
      </c>
    </row>
    <row r="27" spans="1:12" ht="12.75">
      <c r="A27" s="2"/>
      <c r="B27" s="3"/>
      <c r="C27" s="3"/>
      <c r="D27" s="3"/>
      <c r="E27" s="3"/>
      <c r="F27" s="17" t="s">
        <v>14</v>
      </c>
      <c r="G27" s="18" t="s">
        <v>15</v>
      </c>
      <c r="H27" s="3"/>
      <c r="I27" s="3"/>
      <c r="J27" s="3"/>
      <c r="K27" s="3"/>
      <c r="L27" s="4"/>
    </row>
    <row r="28" spans="1:12" ht="12.75">
      <c r="A28" s="5">
        <v>-12</v>
      </c>
      <c r="B28" s="6">
        <v>3.8</v>
      </c>
      <c r="C28" s="6">
        <v>600</v>
      </c>
      <c r="D28" s="6"/>
      <c r="E28" s="6" t="s">
        <v>7</v>
      </c>
      <c r="F28" s="6">
        <f>C28</f>
        <v>600</v>
      </c>
      <c r="G28" s="6">
        <f>C30</f>
        <v>960</v>
      </c>
      <c r="H28" s="6"/>
      <c r="I28" s="6"/>
      <c r="J28" s="6"/>
      <c r="K28" s="6"/>
      <c r="L28" s="7"/>
    </row>
    <row r="29" spans="1:12" ht="12.75">
      <c r="A29" s="5">
        <f>A$6+(A$7-A$6)*(C29-C$6)/(C$7-C$6)</f>
        <v>-100.04859754240307</v>
      </c>
      <c r="B29" s="6">
        <v>3.8</v>
      </c>
      <c r="C29" s="6">
        <v>600</v>
      </c>
      <c r="D29" s="6"/>
      <c r="E29" s="6" t="s">
        <v>16</v>
      </c>
      <c r="F29" s="6">
        <f>A28-A29</f>
        <v>88.04859754240307</v>
      </c>
      <c r="G29" s="6">
        <f>A31-A30</f>
        <v>111.16590515015224</v>
      </c>
      <c r="H29" s="6"/>
      <c r="I29" s="6"/>
      <c r="J29" s="6"/>
      <c r="K29" s="6"/>
      <c r="L29" s="7"/>
    </row>
    <row r="30" spans="1:12" ht="12.75">
      <c r="A30" s="5">
        <f>A$6+(A$7-A$6)*(C30-C$6)/(C$7-C$6)</f>
        <v>-163.16590515015224</v>
      </c>
      <c r="B30" s="6">
        <v>3.8</v>
      </c>
      <c r="C30" s="6">
        <v>960</v>
      </c>
      <c r="D30" s="6"/>
      <c r="E30" s="6" t="s">
        <v>17</v>
      </c>
      <c r="F30" s="6">
        <f>DEGREES(ATAN2(G28-F28,AVERAGE(A30:A31)-AVERAGE(A28:A29)))</f>
        <v>-8.150390514956696</v>
      </c>
      <c r="G30" s="6"/>
      <c r="H30" s="6"/>
      <c r="I30" s="6" t="s">
        <v>20</v>
      </c>
      <c r="J30" s="6" t="s">
        <v>2</v>
      </c>
      <c r="K30" s="6">
        <f>SQRT((C31-C32)^2+(A31-A32)^2)</f>
        <v>362.6789213615812</v>
      </c>
      <c r="L30" s="7"/>
    </row>
    <row r="31" spans="1:12" ht="12.75">
      <c r="A31" s="5">
        <v>-52</v>
      </c>
      <c r="B31" s="6">
        <v>3.8</v>
      </c>
      <c r="C31" s="6">
        <v>960</v>
      </c>
      <c r="D31" s="6"/>
      <c r="E31" s="6" t="s">
        <v>18</v>
      </c>
      <c r="F31" s="6">
        <f>G28-F28</f>
        <v>360</v>
      </c>
      <c r="G31" s="6"/>
      <c r="H31" s="6"/>
      <c r="I31" s="6"/>
      <c r="J31" s="6" t="s">
        <v>4</v>
      </c>
      <c r="K31" s="6">
        <f>DEGREES(ATAN2(C31-C32,A31-A32))</f>
        <v>-6.968256741378544</v>
      </c>
      <c r="L31" s="7"/>
    </row>
    <row r="32" spans="1:12" ht="12.75">
      <c r="A32" s="8">
        <v>-8</v>
      </c>
      <c r="B32" s="9">
        <v>3.8</v>
      </c>
      <c r="C32" s="9">
        <v>600</v>
      </c>
      <c r="D32" s="9"/>
      <c r="E32" s="9" t="s">
        <v>19</v>
      </c>
      <c r="F32" s="9">
        <f>AVERAGE(A28:A31)</f>
        <v>-81.80362567313882</v>
      </c>
      <c r="G32" s="9">
        <f>AVERAGE(F28,G28)-C$19</f>
        <v>477.4848</v>
      </c>
      <c r="H32" s="9"/>
      <c r="I32" s="9"/>
      <c r="J32" s="9" t="s">
        <v>19</v>
      </c>
      <c r="K32" s="9">
        <f>AVERAGE(A31:A32)-F32-0.5</f>
        <v>51.303625673138825</v>
      </c>
      <c r="L32" s="10">
        <f>AVERAGE(C31:C32)-G32-C$19</f>
        <v>0</v>
      </c>
    </row>
    <row r="33" spans="9:11" ht="12.75">
      <c r="I33" t="s">
        <v>22</v>
      </c>
      <c r="J33" s="14" t="s">
        <v>2</v>
      </c>
      <c r="K33">
        <f>SQRT((A29-A30)^2+(C29-C30)^2)</f>
        <v>365.4911688668431</v>
      </c>
    </row>
    <row r="34" spans="10:11" ht="12.75">
      <c r="J34" s="14" t="s">
        <v>4</v>
      </c>
      <c r="K34">
        <f>DEGREES(ATAN2(C30-C29,A30-A29))</f>
        <v>-9.944359808220128</v>
      </c>
    </row>
    <row r="35" spans="10:12" ht="12.75">
      <c r="J35" s="14" t="s">
        <v>19</v>
      </c>
      <c r="K35">
        <f>AVERAGE(A29:A30)+0.3-F32</f>
        <v>-49.503625673138814</v>
      </c>
      <c r="L35">
        <v>0</v>
      </c>
    </row>
    <row r="36" spans="1:12" ht="12.75">
      <c r="A36" s="2"/>
      <c r="B36" s="3"/>
      <c r="C36" s="3"/>
      <c r="D36" s="3"/>
      <c r="E36" s="3"/>
      <c r="F36" s="17" t="s">
        <v>14</v>
      </c>
      <c r="G36" s="18" t="s">
        <v>15</v>
      </c>
      <c r="H36" s="3"/>
      <c r="I36" s="3"/>
      <c r="J36" s="3"/>
      <c r="K36" s="3"/>
      <c r="L36" s="4"/>
    </row>
    <row r="37" spans="1:12" ht="12.75">
      <c r="A37" s="5">
        <v>-73</v>
      </c>
      <c r="B37" s="6">
        <v>3.8</v>
      </c>
      <c r="C37" s="6">
        <v>960</v>
      </c>
      <c r="D37" s="6"/>
      <c r="E37" s="6" t="s">
        <v>7</v>
      </c>
      <c r="F37" s="6">
        <f>C37</f>
        <v>960</v>
      </c>
      <c r="G37" s="6">
        <f>C39</f>
        <v>1420</v>
      </c>
      <c r="H37" s="6"/>
      <c r="I37" s="6"/>
      <c r="J37" s="6"/>
      <c r="K37" s="6"/>
      <c r="L37" s="7"/>
    </row>
    <row r="38" spans="1:12" ht="12.75">
      <c r="A38" s="5">
        <f>A$6+(A$7-A$6)*(C38-C$6)/(C$7-C$6)</f>
        <v>-163.16590515015224</v>
      </c>
      <c r="B38" s="6">
        <v>3.8</v>
      </c>
      <c r="C38" s="6">
        <v>960</v>
      </c>
      <c r="D38" s="6"/>
      <c r="E38" s="6" t="s">
        <v>16</v>
      </c>
      <c r="F38" s="6">
        <f>A37-A38</f>
        <v>90.16590515015224</v>
      </c>
      <c r="G38" s="6">
        <f>A40-A39</f>
        <v>59.98612942810428</v>
      </c>
      <c r="H38" s="6"/>
      <c r="I38" s="6"/>
      <c r="J38" s="6"/>
      <c r="K38" s="6"/>
      <c r="L38" s="7"/>
    </row>
    <row r="39" spans="1:12" ht="12.75">
      <c r="A39" s="5">
        <f>A$6+(A$7-A$6)*(C39-C$6)/(C$7-C$6)</f>
        <v>-243.81579820449844</v>
      </c>
      <c r="B39" s="6">
        <v>3.8</v>
      </c>
      <c r="C39" s="6">
        <v>1420</v>
      </c>
      <c r="D39" s="6"/>
      <c r="E39" s="6" t="s">
        <v>17</v>
      </c>
      <c r="F39" s="6">
        <f>DEGREES(ATAN2(G37-F37,AVERAGE(A39:A40)-AVERAGE(A37:A38)))</f>
        <v>-11.757120673475368</v>
      </c>
      <c r="G39" s="6"/>
      <c r="H39" s="6"/>
      <c r="I39" s="6" t="s">
        <v>20</v>
      </c>
      <c r="J39" s="6" t="s">
        <v>2</v>
      </c>
      <c r="K39" s="6">
        <f>SQRT((C40-C41)^2+(A40-A41)^2)</f>
        <v>473.1629903966341</v>
      </c>
      <c r="L39" s="7"/>
    </row>
    <row r="40" spans="1:12" ht="12.75">
      <c r="A40" s="5">
        <f>A$9+(A$10-A$9)*(C40-C$9)/(C$10-C$9)</f>
        <v>-183.82966877639416</v>
      </c>
      <c r="B40" s="6">
        <v>3.8</v>
      </c>
      <c r="C40" s="6">
        <v>1420</v>
      </c>
      <c r="D40" s="6"/>
      <c r="E40" s="6" t="s">
        <v>18</v>
      </c>
      <c r="F40" s="6">
        <f>G37-F37</f>
        <v>460</v>
      </c>
      <c r="G40" s="6"/>
      <c r="H40" s="6"/>
      <c r="I40" s="6"/>
      <c r="J40" s="6" t="s">
        <v>4</v>
      </c>
      <c r="K40" s="6">
        <f>DEGREES(ATAN2(C40-C41,A40-A41))</f>
        <v>-13.546325647366652</v>
      </c>
      <c r="L40" s="7"/>
    </row>
    <row r="41" spans="1:12" ht="12.75">
      <c r="A41" s="8">
        <v>-73</v>
      </c>
      <c r="B41" s="9">
        <v>3.8</v>
      </c>
      <c r="C41" s="9">
        <v>960</v>
      </c>
      <c r="D41" s="9"/>
      <c r="E41" s="9" t="s">
        <v>19</v>
      </c>
      <c r="F41" s="9">
        <f>AVERAGE(A37:A40)</f>
        <v>-165.95284303276122</v>
      </c>
      <c r="G41" s="9">
        <f>AVERAGE(F37,G37)-C$19</f>
        <v>887.4848</v>
      </c>
      <c r="H41" s="9"/>
      <c r="I41" s="9"/>
      <c r="J41" s="9" t="s">
        <v>19</v>
      </c>
      <c r="K41" s="9">
        <f>AVERAGE(A40:A41)-F41-0.5</f>
        <v>37.038008644564144</v>
      </c>
      <c r="L41" s="10">
        <f>AVERAGE(C40:C41)-G41-C$19</f>
        <v>0</v>
      </c>
    </row>
    <row r="42" spans="9:11" ht="12.75">
      <c r="I42" t="s">
        <v>22</v>
      </c>
      <c r="J42" s="14" t="s">
        <v>2</v>
      </c>
      <c r="K42">
        <f>SQRT((A38-A39)^2+(C38-C39)^2)</f>
        <v>467.01649355207735</v>
      </c>
    </row>
    <row r="43" spans="10:11" ht="12.75">
      <c r="J43" s="14" t="s">
        <v>4</v>
      </c>
      <c r="K43">
        <f>DEGREES(ATAN2(C39-C38,A39-A38))</f>
        <v>-9.944359808220133</v>
      </c>
    </row>
    <row r="44" spans="10:12" ht="12.75">
      <c r="J44" s="14" t="s">
        <v>19</v>
      </c>
      <c r="K44">
        <f>AVERAGE(A38:A39)+0.3-F41</f>
        <v>-37.238008644564104</v>
      </c>
      <c r="L44">
        <v>0</v>
      </c>
    </row>
    <row r="45" spans="1:12" ht="12.75">
      <c r="A45" s="2"/>
      <c r="B45" s="3"/>
      <c r="C45" s="3"/>
      <c r="D45" s="3"/>
      <c r="E45" s="3"/>
      <c r="F45" s="17" t="s">
        <v>14</v>
      </c>
      <c r="G45" s="18" t="s">
        <v>15</v>
      </c>
      <c r="H45" s="3"/>
      <c r="I45" s="3"/>
      <c r="J45" s="3"/>
      <c r="K45" s="3"/>
      <c r="L45" s="3"/>
    </row>
    <row r="46" spans="1:8" ht="12.75">
      <c r="A46" s="19">
        <f>A$9+(A$10-A$9)*(C46-C$9)/(C$10-C$9)</f>
        <v>-183.82966877639416</v>
      </c>
      <c r="B46" s="14">
        <v>3.8</v>
      </c>
      <c r="C46" s="14">
        <v>1420</v>
      </c>
      <c r="D46" s="6"/>
      <c r="E46" s="6" t="s">
        <v>7</v>
      </c>
      <c r="F46" s="6">
        <f>C46</f>
        <v>1420</v>
      </c>
      <c r="G46" s="6">
        <f>C48</f>
        <v>1540.5432</v>
      </c>
      <c r="H46" s="6"/>
    </row>
    <row r="47" spans="1:8" ht="12.75">
      <c r="A47" s="19">
        <f>A$6+(A$7-A$6)*(C47-C$6)/(C$7-C$6)</f>
        <v>-243.81579820449844</v>
      </c>
      <c r="B47" s="14">
        <v>3.8</v>
      </c>
      <c r="C47" s="14">
        <v>1420</v>
      </c>
      <c r="D47" s="6"/>
      <c r="E47" s="6" t="s">
        <v>16</v>
      </c>
      <c r="F47" s="6">
        <f>A46-A47</f>
        <v>59.98612942810428</v>
      </c>
      <c r="G47" s="6">
        <f>A49-A48</f>
        <v>17.52217999999999</v>
      </c>
      <c r="H47" s="6"/>
    </row>
    <row r="48" spans="1:12" ht="12.75">
      <c r="A48" s="19">
        <v>-230.06929</v>
      </c>
      <c r="B48" s="14">
        <v>3.8</v>
      </c>
      <c r="C48">
        <v>1540.5432</v>
      </c>
      <c r="D48" s="6"/>
      <c r="E48" s="6" t="s">
        <v>17</v>
      </c>
      <c r="F48" s="6">
        <f>DEGREES(ATAN2(G46-F46,AVERAGE(A48:A49)-AVERAGE(A46:A47)))</f>
        <v>-3.5533786249107253</v>
      </c>
      <c r="G48" s="6"/>
      <c r="H48" s="6"/>
      <c r="I48" s="6" t="s">
        <v>20</v>
      </c>
      <c r="J48" s="6" t="s">
        <v>2</v>
      </c>
      <c r="K48" s="6">
        <f>SQRT((C49-C50)^2+(A49-A50)^2)</f>
        <v>123.91672403945834</v>
      </c>
      <c r="L48" s="6"/>
    </row>
    <row r="49" spans="1:12" ht="12.75">
      <c r="A49" s="19">
        <v>-212.54711</v>
      </c>
      <c r="B49" s="14">
        <v>3.8</v>
      </c>
      <c r="C49">
        <v>1540.5432</v>
      </c>
      <c r="D49" s="6"/>
      <c r="E49" s="6" t="s">
        <v>18</v>
      </c>
      <c r="F49" s="6">
        <f>G46-F46</f>
        <v>120.54320000000007</v>
      </c>
      <c r="G49" s="6"/>
      <c r="H49" s="6"/>
      <c r="I49" s="6"/>
      <c r="J49" s="6" t="s">
        <v>4</v>
      </c>
      <c r="K49" s="6">
        <f>DEGREES(ATAN2(C49-C50,A49-A50))</f>
        <v>-13.400000104377519</v>
      </c>
      <c r="L49" s="6"/>
    </row>
    <row r="50" spans="1:12" ht="12.75">
      <c r="A50" s="20">
        <f>A$9+(A$10-A$9)*(C50-C$9)/(C$10-C$9)</f>
        <v>-183.82966877639416</v>
      </c>
      <c r="B50" s="21">
        <v>3.8</v>
      </c>
      <c r="C50" s="21">
        <v>1420</v>
      </c>
      <c r="D50" s="9"/>
      <c r="E50" s="9" t="s">
        <v>19</v>
      </c>
      <c r="F50" s="9">
        <f>AVERAGE(A46:A49)</f>
        <v>-217.56546674522315</v>
      </c>
      <c r="G50" s="9">
        <f>AVERAGE(F46,G46)-C$19</f>
        <v>1177.7564</v>
      </c>
      <c r="H50" s="9"/>
      <c r="I50" s="9"/>
      <c r="J50" s="9" t="s">
        <v>19</v>
      </c>
      <c r="K50" s="9">
        <f>AVERAGE(A49:A50)-F50-0.5</f>
        <v>18.877077357026053</v>
      </c>
      <c r="L50" s="6">
        <f>AVERAGE(C49:C50)-G50-C$19</f>
        <v>0</v>
      </c>
    </row>
    <row r="51" spans="9:11" ht="12.75">
      <c r="I51" t="s">
        <v>22</v>
      </c>
      <c r="J51" s="14" t="s">
        <v>2</v>
      </c>
      <c r="K51">
        <f>SQRT((A47-A48)^2+(C47-C48)^2)</f>
        <v>121.32448044008414</v>
      </c>
    </row>
    <row r="52" spans="10:11" ht="12.75">
      <c r="J52" s="14" t="s">
        <v>4</v>
      </c>
      <c r="K52">
        <f>DEGREES(ATAN2(C48-C47,A48-A47))</f>
        <v>6.505792661394788</v>
      </c>
    </row>
    <row r="53" spans="10:12" ht="12.75">
      <c r="J53" s="14" t="s">
        <v>19</v>
      </c>
      <c r="K53">
        <f>AVERAGE(A47:A48)+0.3-F50</f>
        <v>-19.07707735702604</v>
      </c>
      <c r="L53">
        <v>0</v>
      </c>
    </row>
    <row r="54" spans="1:12" ht="12.75">
      <c r="A54" s="3"/>
      <c r="B54" s="3"/>
      <c r="C54" s="3"/>
      <c r="D54" s="3"/>
      <c r="E54" s="3"/>
      <c r="F54" s="17"/>
      <c r="G54" s="18"/>
      <c r="H54" s="3"/>
      <c r="I54" s="3" t="s">
        <v>21</v>
      </c>
      <c r="J54" s="3" t="s">
        <v>48</v>
      </c>
      <c r="K54" s="3">
        <f>F55-10</f>
        <v>-5.939271520352658</v>
      </c>
      <c r="L54" s="6"/>
    </row>
    <row r="55" spans="1:12" ht="12.75">
      <c r="A55" s="19">
        <f>A$9+(A$10-A$9)*(C55-C$9)/(C$10-C$9)</f>
        <v>-212.54711</v>
      </c>
      <c r="B55" s="14">
        <v>3.8</v>
      </c>
      <c r="C55">
        <v>1540.5432</v>
      </c>
      <c r="E55" s="6" t="s">
        <v>49</v>
      </c>
      <c r="F55" s="6">
        <f>SQRT((A56-A57)^2+(C57-C56)^2)</f>
        <v>4.060728479647342</v>
      </c>
      <c r="G55" s="6"/>
      <c r="I55" s="6"/>
      <c r="J55" s="6" t="s">
        <v>19</v>
      </c>
      <c r="K55" s="6">
        <v>-5</v>
      </c>
      <c r="L55" s="6">
        <f>F56/2-K56/2</f>
        <v>8.022577018821575</v>
      </c>
    </row>
    <row r="56" spans="1:12" ht="12.75">
      <c r="A56" s="14">
        <f>A55-(A55-A57)*COS(RADIANS(13.4))^2</f>
        <v>-229.12822468818274</v>
      </c>
      <c r="B56" s="14">
        <v>3.8</v>
      </c>
      <c r="C56" s="6">
        <f>C55+(A57-A55)*COS(RADIANS(13.4))*SIN(RADIANS(13.4))</f>
        <v>1536.5930212870412</v>
      </c>
      <c r="E56" s="6" t="s">
        <v>50</v>
      </c>
      <c r="F56" s="6">
        <f>SQRT((A57-A58)^2+(C57-C58)^2)</f>
        <v>17.04515403764315</v>
      </c>
      <c r="G56" s="6"/>
      <c r="I56" s="6"/>
      <c r="J56" s="6" t="s">
        <v>23</v>
      </c>
      <c r="K56" s="6">
        <v>1</v>
      </c>
      <c r="L56" s="6"/>
    </row>
    <row r="57" spans="1:12" ht="12.75">
      <c r="A57" s="19">
        <v>-230.06929</v>
      </c>
      <c r="B57" s="14">
        <v>3.8</v>
      </c>
      <c r="C57">
        <v>1540.5432</v>
      </c>
      <c r="E57" s="6" t="s">
        <v>4</v>
      </c>
      <c r="F57" s="6">
        <f>DEGREES(ATAN2(C58-C59,A58-A59))</f>
        <v>-13.39999999999951</v>
      </c>
      <c r="G57" s="6"/>
      <c r="L57" s="6"/>
    </row>
    <row r="58" spans="1:12" ht="12.75">
      <c r="A58" s="19">
        <f>A55+(A57-A55)*SIN(RADIANS(13.4))^2</f>
        <v>-213.48817531181726</v>
      </c>
      <c r="B58" s="14">
        <v>3.8</v>
      </c>
      <c r="C58">
        <f>C55-(A57-A55)*SIN(RADIANS(13.4))*COS(RADIANS(13.4))</f>
        <v>1544.493378712959</v>
      </c>
      <c r="E58" s="6"/>
      <c r="F58" s="6"/>
      <c r="G58" s="6"/>
      <c r="I58" s="6" t="s">
        <v>20</v>
      </c>
      <c r="J58" s="6" t="s">
        <v>2</v>
      </c>
      <c r="K58" s="6">
        <f>SQRT((C58-C59)^2+(A58-A59)^2)</f>
        <v>4.060728479647342</v>
      </c>
      <c r="L58" s="6"/>
    </row>
    <row r="59" spans="1:12" ht="12.75">
      <c r="A59" s="21">
        <f>A$9+(A$10-A$9)*(C59-C$9)/(C$10-C$9)</f>
        <v>-212.54711</v>
      </c>
      <c r="B59" s="21">
        <v>3.8</v>
      </c>
      <c r="C59" s="9">
        <v>1540.5432</v>
      </c>
      <c r="D59" s="9"/>
      <c r="E59" s="9" t="s">
        <v>19</v>
      </c>
      <c r="F59" s="9">
        <f>AVERAGE(A55,A57)</f>
        <v>-221.3082</v>
      </c>
      <c r="G59" s="9">
        <f>AVERAGE(C55,C57)-C$19</f>
        <v>1238.028</v>
      </c>
      <c r="H59" s="9"/>
      <c r="I59" s="9"/>
      <c r="J59" s="9" t="s">
        <v>19</v>
      </c>
      <c r="K59" s="9">
        <f>F55/2-0.5</f>
        <v>1.5303642398236712</v>
      </c>
      <c r="L59" s="9">
        <f>AVERAGE(C58:C59)-G59-C$19</f>
        <v>1.9750893564794865</v>
      </c>
    </row>
    <row r="63" spans="1:5" ht="12.75">
      <c r="A63" s="2" t="s">
        <v>25</v>
      </c>
      <c r="B63" s="3"/>
      <c r="C63" s="3"/>
      <c r="D63" s="3"/>
      <c r="E63" s="4"/>
    </row>
    <row r="64" spans="1:5" ht="12.75">
      <c r="A64" s="5" t="s">
        <v>4</v>
      </c>
      <c r="B64" s="6">
        <f>DEGREES(ATAN2(C49-C50,A49-A50))</f>
        <v>-13.400000104377519</v>
      </c>
      <c r="C64" s="6"/>
      <c r="D64" s="6"/>
      <c r="E64" s="7"/>
    </row>
    <row r="65" spans="1:5" ht="12.75">
      <c r="A65" s="5" t="s">
        <v>26</v>
      </c>
      <c r="B65" s="6">
        <f>A58-B67/2*COS(RADIANS(B64))</f>
        <v>-218.35205470075334</v>
      </c>
      <c r="C65" s="6">
        <f>C58+B67/2*SIN(RADIANS(B64))</f>
        <v>1543.3346391866276</v>
      </c>
      <c r="D65" s="6"/>
      <c r="E65" s="7"/>
    </row>
    <row r="66" spans="1:5" ht="12.75">
      <c r="A66" s="5" t="s">
        <v>2</v>
      </c>
      <c r="B66" s="6">
        <v>279.487</v>
      </c>
      <c r="C66" s="6"/>
      <c r="D66" s="6"/>
      <c r="E66" s="7"/>
    </row>
    <row r="67" spans="1:5" ht="12.75">
      <c r="A67" s="19" t="s">
        <v>3</v>
      </c>
      <c r="B67" s="6">
        <v>10</v>
      </c>
      <c r="C67" s="6"/>
      <c r="D67" s="6"/>
      <c r="E67" s="7"/>
    </row>
    <row r="68" spans="1:5" ht="12.75">
      <c r="A68" s="8" t="s">
        <v>9</v>
      </c>
      <c r="B68" s="23">
        <f>B65+B66/2*SIN(RADIANS(B64))</f>
        <v>-250.73731810033365</v>
      </c>
      <c r="C68" s="9">
        <f>C65+B66/2*COS(RADIANS(B64))-C19</f>
        <v>1376.758545064185</v>
      </c>
      <c r="D68" s="9"/>
      <c r="E68" s="10"/>
    </row>
  </sheetData>
  <mergeCells count="1">
    <mergeCell ref="D7:G11"/>
  </mergeCells>
  <printOptions/>
  <pageMargins left="0.75" right="0.75" top="1" bottom="1" header="0.5" footer="0.5"/>
  <pageSetup orientation="portrait" paperSize="9"/>
  <ignoredErrors>
    <ignoredError sqref="L32 L41 L50 L5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J9" sqref="J9"/>
    </sheetView>
  </sheetViews>
  <sheetFormatPr defaultColWidth="9.140625" defaultRowHeight="12.75"/>
  <cols>
    <col min="1" max="1" width="9.57421875" style="0" customWidth="1"/>
  </cols>
  <sheetData>
    <row r="1" spans="1:5" ht="12.75">
      <c r="A1" t="s">
        <v>35</v>
      </c>
      <c r="E1" t="s">
        <v>40</v>
      </c>
    </row>
    <row r="2" spans="1:7" ht="12.75">
      <c r="A2" s="1" t="s">
        <v>5</v>
      </c>
      <c r="B2" s="1" t="s">
        <v>6</v>
      </c>
      <c r="C2" s="1" t="s">
        <v>7</v>
      </c>
      <c r="E2" s="1" t="s">
        <v>5</v>
      </c>
      <c r="F2" s="1" t="s">
        <v>6</v>
      </c>
      <c r="G2" s="1" t="s">
        <v>7</v>
      </c>
    </row>
    <row r="3" spans="1:7" ht="12.75">
      <c r="A3">
        <v>-70.663</v>
      </c>
      <c r="B3">
        <v>0</v>
      </c>
      <c r="C3">
        <v>423.7086</v>
      </c>
      <c r="E3">
        <v>27.94725</v>
      </c>
      <c r="F3">
        <v>1.5</v>
      </c>
      <c r="G3">
        <v>305.40349</v>
      </c>
    </row>
    <row r="4" spans="1:7" ht="12.75">
      <c r="A4">
        <v>-239.8134</v>
      </c>
      <c r="B4">
        <v>0</v>
      </c>
      <c r="C4">
        <v>1388.486</v>
      </c>
      <c r="E4">
        <v>-16.81438</v>
      </c>
      <c r="F4">
        <v>1.5</v>
      </c>
      <c r="G4">
        <v>300.77783</v>
      </c>
    </row>
    <row r="6" spans="1:2" ht="12.75">
      <c r="A6" t="s">
        <v>2</v>
      </c>
      <c r="B6">
        <f>SQRT((A3-A4)^2+(C3-C4)^2)</f>
        <v>979.4933840363192</v>
      </c>
    </row>
    <row r="7" spans="1:2" ht="12.75">
      <c r="A7" t="s">
        <v>4</v>
      </c>
      <c r="B7">
        <f>DEGREES(ATAN2(C4-C3,A4-A3))</f>
        <v>-9.944358539248402</v>
      </c>
    </row>
    <row r="8" spans="1:3" ht="12.75">
      <c r="A8" t="s">
        <v>8</v>
      </c>
      <c r="B8">
        <f>AVERAGE(A3:A4)</f>
        <v>-155.2382</v>
      </c>
      <c r="C8">
        <f>AVERAGE(C3:C4)</f>
        <v>906.0973</v>
      </c>
    </row>
    <row r="9" ht="12.75">
      <c r="I9">
        <f>C8-'vacuum box'!C19</f>
        <v>603.5821000000001</v>
      </c>
    </row>
    <row r="10" ht="12.75">
      <c r="A10" t="s">
        <v>42</v>
      </c>
    </row>
    <row r="11" spans="1:5" ht="12.75">
      <c r="A11" t="s">
        <v>5</v>
      </c>
      <c r="B11">
        <f>E11*B12+E12</f>
        <v>-48.53533565347695</v>
      </c>
      <c r="C11">
        <f>E13*B12+E14</f>
        <v>-48.53533565347652</v>
      </c>
      <c r="D11" t="s">
        <v>36</v>
      </c>
      <c r="E11">
        <f>(A3-A4)/(C3-C4)</f>
        <v>-0.1753258316374326</v>
      </c>
    </row>
    <row r="12" spans="1:5" ht="12.75">
      <c r="A12" t="s">
        <v>7</v>
      </c>
      <c r="B12">
        <f>-(E12-E14)/(E11-E13)</f>
        <v>297.49979129300783</v>
      </c>
      <c r="D12" t="s">
        <v>37</v>
      </c>
      <c r="E12">
        <f>A3-C3/(C4-C3)*(A4-A3)</f>
        <v>3.624062666932275</v>
      </c>
    </row>
    <row r="13" spans="1:5" ht="12.75">
      <c r="A13" t="s">
        <v>44</v>
      </c>
      <c r="B13">
        <f>(B12-'vacuum box'!C19)</f>
        <v>-5.015408706992162</v>
      </c>
      <c r="D13" t="s">
        <v>38</v>
      </c>
      <c r="E13">
        <f>(E3-E4)/(G3-G4)</f>
        <v>9.676809363420608</v>
      </c>
    </row>
    <row r="14" spans="4:5" ht="12.75">
      <c r="D14" t="s">
        <v>41</v>
      </c>
      <c r="E14">
        <f>E3-G3/(G4-G3)*(E4-E3)</f>
        <v>-2927.3841016533315</v>
      </c>
    </row>
    <row r="16" spans="1:5" ht="12.75">
      <c r="A16" t="s">
        <v>43</v>
      </c>
      <c r="E16">
        <f>SQRT((B8-B11)^2+(C8-B12)^2)</f>
        <v>617.8805943417465</v>
      </c>
    </row>
    <row r="19" spans="1:3" ht="12.75">
      <c r="A19" t="s">
        <v>45</v>
      </c>
      <c r="C19">
        <v>10.5</v>
      </c>
    </row>
    <row r="20" spans="1:3" ht="12.75">
      <c r="A20" t="s">
        <v>47</v>
      </c>
      <c r="C20">
        <v>0.2</v>
      </c>
    </row>
    <row r="21" spans="1:3" ht="12.75">
      <c r="A21" t="s">
        <v>46</v>
      </c>
      <c r="C21">
        <f>C20/SIN(RADIANS(C19))</f>
        <v>1.097480853197408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7"/>
  <sheetViews>
    <sheetView tabSelected="1" workbookViewId="0" topLeftCell="A15">
      <selection activeCell="J21" sqref="J21"/>
    </sheetView>
  </sheetViews>
  <sheetFormatPr defaultColWidth="9.140625" defaultRowHeight="12.75"/>
  <cols>
    <col min="1" max="1" width="25.57421875" style="0" customWidth="1"/>
  </cols>
  <sheetData>
    <row r="2" spans="1:12" ht="12.75">
      <c r="A2" t="s">
        <v>51</v>
      </c>
      <c r="B2">
        <v>750</v>
      </c>
      <c r="C2" t="s">
        <v>64</v>
      </c>
      <c r="E2" t="s">
        <v>67</v>
      </c>
      <c r="L2" t="s">
        <v>183</v>
      </c>
    </row>
    <row r="3" spans="1:16" ht="12.75">
      <c r="A3" t="s">
        <v>52</v>
      </c>
      <c r="B3">
        <f>1917+61+305+343</f>
        <v>2626</v>
      </c>
      <c r="C3" t="s">
        <v>64</v>
      </c>
      <c r="E3" s="22" t="s">
        <v>5</v>
      </c>
      <c r="F3" s="22" t="s">
        <v>6</v>
      </c>
      <c r="G3" s="22" t="s">
        <v>7</v>
      </c>
      <c r="L3" t="s">
        <v>189</v>
      </c>
      <c r="M3" t="s">
        <v>182</v>
      </c>
      <c r="N3" t="s">
        <v>23</v>
      </c>
      <c r="O3" t="s">
        <v>186</v>
      </c>
      <c r="P3" t="s">
        <v>188</v>
      </c>
    </row>
    <row r="4" spans="1:16" ht="12.75">
      <c r="A4" t="s">
        <v>53</v>
      </c>
      <c r="B4">
        <v>450</v>
      </c>
      <c r="C4" t="s">
        <v>64</v>
      </c>
      <c r="E4">
        <f>-B2/2+B11</f>
        <v>-75</v>
      </c>
      <c r="F4">
        <f>B4/2-B10</f>
        <v>45</v>
      </c>
      <c r="G4">
        <f>B3/2-B15</f>
        <v>1213</v>
      </c>
      <c r="H4" t="s">
        <v>64</v>
      </c>
      <c r="L4" s="24">
        <f>B6-D40</f>
        <v>290.12</v>
      </c>
      <c r="M4">
        <f>B8</f>
        <v>450</v>
      </c>
      <c r="N4" s="24">
        <f>D33</f>
        <v>60.96</v>
      </c>
      <c r="O4" s="24">
        <v>-108</v>
      </c>
      <c r="P4">
        <f>(B$6-L4)/2</f>
        <v>27.939999999999998</v>
      </c>
    </row>
    <row r="6" spans="1:12" ht="12.75">
      <c r="A6" t="s">
        <v>54</v>
      </c>
      <c r="B6">
        <f>2*173</f>
        <v>346</v>
      </c>
      <c r="C6" t="s">
        <v>64</v>
      </c>
      <c r="E6" t="s">
        <v>68</v>
      </c>
      <c r="L6" t="s">
        <v>184</v>
      </c>
    </row>
    <row r="7" spans="1:16" ht="12.75">
      <c r="A7" t="s">
        <v>55</v>
      </c>
      <c r="B7" s="24">
        <f>B18-(B2-B11-B6/2*COS(RADIANS(B14)))/SIN(RADIANS(B14))</f>
        <v>1650.412851972675</v>
      </c>
      <c r="C7" t="s">
        <v>64</v>
      </c>
      <c r="E7" s="22" t="s">
        <v>5</v>
      </c>
      <c r="F7" s="22" t="s">
        <v>6</v>
      </c>
      <c r="G7" s="22" t="s">
        <v>7</v>
      </c>
      <c r="L7" t="s">
        <v>189</v>
      </c>
      <c r="M7" t="s">
        <v>182</v>
      </c>
      <c r="N7" t="s">
        <v>23</v>
      </c>
      <c r="O7" t="s">
        <v>186</v>
      </c>
      <c r="P7" t="s">
        <v>188</v>
      </c>
    </row>
    <row r="8" spans="1:16" ht="12.75">
      <c r="A8" t="s">
        <v>56</v>
      </c>
      <c r="B8">
        <v>450</v>
      </c>
      <c r="C8" t="s">
        <v>64</v>
      </c>
      <c r="E8">
        <f>-B12</f>
        <v>0</v>
      </c>
      <c r="F8">
        <f>B8/2-B10</f>
        <v>45</v>
      </c>
      <c r="G8">
        <f>B18-B7/2</f>
        <v>2040.7935740136625</v>
      </c>
      <c r="H8" t="s">
        <v>64</v>
      </c>
      <c r="L8" s="24">
        <f>B6-D41</f>
        <v>287.58</v>
      </c>
      <c r="M8">
        <f>B8</f>
        <v>450</v>
      </c>
      <c r="N8" s="24">
        <f>N4</f>
        <v>60.96</v>
      </c>
      <c r="O8" s="24">
        <f>O4-(D38+D33)</f>
        <v>-311.20000000000005</v>
      </c>
      <c r="P8">
        <f>(B$6-L8)/2</f>
        <v>29.210000000000008</v>
      </c>
    </row>
    <row r="10" spans="1:12" ht="12.75">
      <c r="A10" t="s">
        <v>58</v>
      </c>
      <c r="B10">
        <v>180</v>
      </c>
      <c r="C10" t="s">
        <v>64</v>
      </c>
      <c r="E10" t="s">
        <v>69</v>
      </c>
      <c r="L10" t="s">
        <v>185</v>
      </c>
    </row>
    <row r="11" spans="1:16" ht="12.75">
      <c r="A11" t="s">
        <v>57</v>
      </c>
      <c r="B11">
        <v>300</v>
      </c>
      <c r="C11" t="s">
        <v>64</v>
      </c>
      <c r="E11" s="22" t="s">
        <v>5</v>
      </c>
      <c r="F11" s="22" t="s">
        <v>6</v>
      </c>
      <c r="G11" s="22" t="s">
        <v>7</v>
      </c>
      <c r="L11" t="s">
        <v>189</v>
      </c>
      <c r="M11" t="s">
        <v>182</v>
      </c>
      <c r="N11" t="s">
        <v>23</v>
      </c>
      <c r="O11" t="s">
        <v>186</v>
      </c>
      <c r="P11" t="s">
        <v>188</v>
      </c>
    </row>
    <row r="12" spans="1:16" ht="12.75">
      <c r="A12" t="s">
        <v>59</v>
      </c>
      <c r="B12">
        <v>0</v>
      </c>
      <c r="C12" t="s">
        <v>64</v>
      </c>
      <c r="E12">
        <f>-E8</f>
        <v>0</v>
      </c>
      <c r="F12">
        <f>-F8</f>
        <v>-45</v>
      </c>
      <c r="G12" s="24">
        <f>B17-G8</f>
        <v>369.20642598633754</v>
      </c>
      <c r="H12" t="s">
        <v>64</v>
      </c>
      <c r="L12" s="24">
        <f>B6-D42</f>
        <v>290.12</v>
      </c>
      <c r="M12">
        <f>B8</f>
        <v>450</v>
      </c>
      <c r="N12" s="24">
        <f>N4</f>
        <v>60.96</v>
      </c>
      <c r="O12" s="24">
        <f>O4+(D39+D33)</f>
        <v>95.20000000000002</v>
      </c>
      <c r="P12">
        <f>(B$6-L12)/2</f>
        <v>27.939999999999998</v>
      </c>
    </row>
    <row r="14" spans="1:12" ht="12.75">
      <c r="A14" t="s">
        <v>60</v>
      </c>
      <c r="B14">
        <v>13.4</v>
      </c>
      <c r="C14" t="s">
        <v>61</v>
      </c>
      <c r="E14" t="s">
        <v>70</v>
      </c>
      <c r="L14" t="s">
        <v>187</v>
      </c>
    </row>
    <row r="15" spans="1:15" ht="12.75">
      <c r="A15" t="s">
        <v>62</v>
      </c>
      <c r="B15">
        <v>100</v>
      </c>
      <c r="C15" t="s">
        <v>64</v>
      </c>
      <c r="E15" t="s">
        <v>2</v>
      </c>
      <c r="F15" s="24">
        <f>B19-B20</f>
        <v>279.4871480273249</v>
      </c>
      <c r="G15" t="s">
        <v>64</v>
      </c>
      <c r="O15" t="s">
        <v>186</v>
      </c>
    </row>
    <row r="16" spans="1:15" ht="12.75">
      <c r="A16" t="s">
        <v>63</v>
      </c>
      <c r="B16">
        <v>633</v>
      </c>
      <c r="C16" t="s">
        <v>64</v>
      </c>
      <c r="N16" s="24"/>
      <c r="O16">
        <v>-248</v>
      </c>
    </row>
    <row r="17" spans="1:5" ht="12.75">
      <c r="A17" t="s">
        <v>65</v>
      </c>
      <c r="B17">
        <f>B18-456</f>
        <v>2410</v>
      </c>
      <c r="C17" t="s">
        <v>64</v>
      </c>
      <c r="E17" t="s">
        <v>71</v>
      </c>
    </row>
    <row r="18" spans="1:7" ht="12.75">
      <c r="A18" t="s">
        <v>66</v>
      </c>
      <c r="B18">
        <f>3600-734</f>
        <v>2866</v>
      </c>
      <c r="C18" t="s">
        <v>64</v>
      </c>
      <c r="E18" t="s">
        <v>2</v>
      </c>
      <c r="F18" s="24">
        <f>(B21-B19)/COS(RADIANS(B14))</f>
        <v>1011.962646303174</v>
      </c>
      <c r="G18" t="s">
        <v>64</v>
      </c>
    </row>
    <row r="19" spans="1:5" ht="12.75">
      <c r="A19" t="s">
        <v>72</v>
      </c>
      <c r="B19">
        <f>B18-B7</f>
        <v>1215.587148027325</v>
      </c>
      <c r="C19" t="s">
        <v>64</v>
      </c>
      <c r="E19" t="s">
        <v>75</v>
      </c>
    </row>
    <row r="20" spans="1:9" ht="12.75">
      <c r="A20" t="s">
        <v>73</v>
      </c>
      <c r="B20">
        <v>936.1</v>
      </c>
      <c r="C20" t="s">
        <v>64</v>
      </c>
      <c r="E20" s="22" t="s">
        <v>5</v>
      </c>
      <c r="F20" s="22" t="s">
        <v>6</v>
      </c>
      <c r="G20" s="22" t="s">
        <v>7</v>
      </c>
      <c r="I20" s="22"/>
    </row>
    <row r="21" spans="1:10" ht="12.75">
      <c r="A21" t="s">
        <v>74</v>
      </c>
      <c r="B21">
        <v>2200</v>
      </c>
      <c r="C21" t="s">
        <v>64</v>
      </c>
      <c r="E21">
        <f>E12</f>
        <v>0</v>
      </c>
      <c r="F21">
        <f>F12</f>
        <v>-45</v>
      </c>
      <c r="G21" s="24">
        <f>B19+F18/2-B18+B7/2</f>
        <v>-319.2251028347505</v>
      </c>
      <c r="H21" t="s">
        <v>64</v>
      </c>
      <c r="I21" s="24"/>
      <c r="J21" s="24">
        <f>B17-G8+D35/2</f>
        <v>600.3464259863375</v>
      </c>
    </row>
    <row r="25" ht="12.75">
      <c r="A25" s="25" t="s">
        <v>76</v>
      </c>
    </row>
    <row r="26" spans="1:6" ht="12.75">
      <c r="A26" t="s">
        <v>77</v>
      </c>
      <c r="B26">
        <v>2.54</v>
      </c>
      <c r="F26" t="s">
        <v>127</v>
      </c>
    </row>
    <row r="27" spans="1:6" ht="12.75">
      <c r="A27" t="s">
        <v>78</v>
      </c>
      <c r="B27">
        <v>140</v>
      </c>
      <c r="C27" t="s">
        <v>128</v>
      </c>
      <c r="D27" s="24">
        <f>B27*B$26</f>
        <v>355.6</v>
      </c>
      <c r="E27" t="s">
        <v>64</v>
      </c>
      <c r="F27" t="s">
        <v>129</v>
      </c>
    </row>
    <row r="28" spans="1:6" ht="12.75">
      <c r="A28" t="s">
        <v>79</v>
      </c>
      <c r="B28">
        <v>177.165</v>
      </c>
      <c r="C28" t="s">
        <v>128</v>
      </c>
      <c r="D28" s="24">
        <f aca="true" t="shared" si="0" ref="D28:D76">B28*B$26</f>
        <v>449.9991</v>
      </c>
      <c r="E28" t="s">
        <v>64</v>
      </c>
      <c r="F28" t="s">
        <v>130</v>
      </c>
    </row>
    <row r="29" spans="1:6" ht="12.75">
      <c r="A29" t="s">
        <v>80</v>
      </c>
      <c r="B29">
        <v>720</v>
      </c>
      <c r="C29" t="s">
        <v>128</v>
      </c>
      <c r="D29" s="24">
        <f t="shared" si="0"/>
        <v>1828.8</v>
      </c>
      <c r="E29" t="s">
        <v>64</v>
      </c>
      <c r="F29" t="s">
        <v>131</v>
      </c>
    </row>
    <row r="30" spans="1:6" ht="12.75">
      <c r="A30" t="s">
        <v>81</v>
      </c>
      <c r="B30">
        <v>36</v>
      </c>
      <c r="C30" t="s">
        <v>128</v>
      </c>
      <c r="D30" s="24">
        <f t="shared" si="0"/>
        <v>91.44</v>
      </c>
      <c r="E30" t="s">
        <v>64</v>
      </c>
      <c r="F30" t="s">
        <v>133</v>
      </c>
    </row>
    <row r="31" spans="1:6" ht="12.75">
      <c r="A31" t="s">
        <v>82</v>
      </c>
      <c r="B31">
        <v>43</v>
      </c>
      <c r="C31" t="s">
        <v>128</v>
      </c>
      <c r="D31" s="24">
        <f t="shared" si="0"/>
        <v>109.22</v>
      </c>
      <c r="E31" t="s">
        <v>64</v>
      </c>
      <c r="F31" t="s">
        <v>132</v>
      </c>
    </row>
    <row r="32" spans="1:6" ht="12.75">
      <c r="A32" t="s">
        <v>126</v>
      </c>
      <c r="B32">
        <f>D32/B26</f>
        <v>70.86614173228347</v>
      </c>
      <c r="C32" t="s">
        <v>128</v>
      </c>
      <c r="D32" s="24">
        <f>180</f>
        <v>180</v>
      </c>
      <c r="E32" t="s">
        <v>64</v>
      </c>
      <c r="F32" t="s">
        <v>134</v>
      </c>
    </row>
    <row r="33" spans="1:6" ht="12.75">
      <c r="A33" t="s">
        <v>83</v>
      </c>
      <c r="B33">
        <v>24</v>
      </c>
      <c r="C33" t="s">
        <v>128</v>
      </c>
      <c r="D33" s="24">
        <f t="shared" si="0"/>
        <v>60.96</v>
      </c>
      <c r="E33" t="s">
        <v>64</v>
      </c>
      <c r="F33" t="s">
        <v>135</v>
      </c>
    </row>
    <row r="34" spans="1:6" ht="12.75">
      <c r="A34" t="s">
        <v>136</v>
      </c>
      <c r="B34">
        <f>B28</f>
        <v>177.165</v>
      </c>
      <c r="C34" t="s">
        <v>128</v>
      </c>
      <c r="D34" s="24">
        <f t="shared" si="0"/>
        <v>449.9991</v>
      </c>
      <c r="E34" t="s">
        <v>64</v>
      </c>
      <c r="F34" t="s">
        <v>137</v>
      </c>
    </row>
    <row r="35" spans="1:6" ht="12.75">
      <c r="A35" t="s">
        <v>84</v>
      </c>
      <c r="B35">
        <v>182</v>
      </c>
      <c r="C35" t="s">
        <v>128</v>
      </c>
      <c r="D35" s="24">
        <f t="shared" si="0"/>
        <v>462.28000000000003</v>
      </c>
      <c r="E35" t="s">
        <v>64</v>
      </c>
      <c r="F35" t="s">
        <v>138</v>
      </c>
    </row>
    <row r="36" spans="1:6" ht="12.75">
      <c r="A36" t="s">
        <v>139</v>
      </c>
      <c r="B36" s="24">
        <f>B32*2</f>
        <v>141.73228346456693</v>
      </c>
      <c r="C36" t="s">
        <v>128</v>
      </c>
      <c r="D36" s="24">
        <f t="shared" si="0"/>
        <v>360</v>
      </c>
      <c r="E36" t="s">
        <v>64</v>
      </c>
      <c r="F36" t="s">
        <v>140</v>
      </c>
    </row>
    <row r="37" spans="1:6" ht="12.75">
      <c r="A37" t="s">
        <v>85</v>
      </c>
      <c r="B37">
        <v>19</v>
      </c>
      <c r="C37" t="s">
        <v>128</v>
      </c>
      <c r="D37" s="24">
        <f t="shared" si="0"/>
        <v>48.26</v>
      </c>
      <c r="E37" t="s">
        <v>64</v>
      </c>
      <c r="F37" t="s">
        <v>141</v>
      </c>
    </row>
    <row r="38" spans="1:6" ht="12.75">
      <c r="A38" t="s">
        <v>86</v>
      </c>
      <c r="B38">
        <v>56</v>
      </c>
      <c r="C38" t="s">
        <v>128</v>
      </c>
      <c r="D38" s="24">
        <f t="shared" si="0"/>
        <v>142.24</v>
      </c>
      <c r="E38" t="s">
        <v>64</v>
      </c>
      <c r="F38" t="s">
        <v>142</v>
      </c>
    </row>
    <row r="39" spans="1:6" ht="12.75">
      <c r="A39" t="s">
        <v>87</v>
      </c>
      <c r="B39">
        <v>56</v>
      </c>
      <c r="C39" t="s">
        <v>128</v>
      </c>
      <c r="D39" s="24">
        <f t="shared" si="0"/>
        <v>142.24</v>
      </c>
      <c r="E39" t="s">
        <v>64</v>
      </c>
      <c r="F39" t="s">
        <v>143</v>
      </c>
    </row>
    <row r="40" spans="1:6" ht="12.75">
      <c r="A40" t="s">
        <v>88</v>
      </c>
      <c r="B40">
        <v>22</v>
      </c>
      <c r="C40" t="s">
        <v>128</v>
      </c>
      <c r="D40" s="24">
        <f t="shared" si="0"/>
        <v>55.88</v>
      </c>
      <c r="E40" t="s">
        <v>64</v>
      </c>
      <c r="F40" t="s">
        <v>144</v>
      </c>
    </row>
    <row r="41" spans="1:6" ht="12.75">
      <c r="A41" t="s">
        <v>89</v>
      </c>
      <c r="B41">
        <v>23</v>
      </c>
      <c r="C41" t="s">
        <v>128</v>
      </c>
      <c r="D41" s="24">
        <f t="shared" si="0"/>
        <v>58.42</v>
      </c>
      <c r="E41" t="s">
        <v>64</v>
      </c>
      <c r="F41" t="s">
        <v>145</v>
      </c>
    </row>
    <row r="42" spans="1:6" ht="12.75">
      <c r="A42" t="s">
        <v>90</v>
      </c>
      <c r="B42">
        <v>22</v>
      </c>
      <c r="C42" t="s">
        <v>128</v>
      </c>
      <c r="D42" s="24">
        <f t="shared" si="0"/>
        <v>55.88</v>
      </c>
      <c r="E42" t="s">
        <v>64</v>
      </c>
      <c r="F42" t="s">
        <v>181</v>
      </c>
    </row>
    <row r="43" spans="1:6" ht="12.75">
      <c r="A43" t="s">
        <v>91</v>
      </c>
      <c r="B43">
        <v>26</v>
      </c>
      <c r="C43" t="s">
        <v>128</v>
      </c>
      <c r="D43" s="24">
        <f t="shared" si="0"/>
        <v>66.04</v>
      </c>
      <c r="E43" t="s">
        <v>64</v>
      </c>
      <c r="F43" t="s">
        <v>146</v>
      </c>
    </row>
    <row r="44" spans="1:6" ht="12.75">
      <c r="A44" t="s">
        <v>92</v>
      </c>
      <c r="B44">
        <v>26</v>
      </c>
      <c r="C44" t="s">
        <v>128</v>
      </c>
      <c r="D44" s="24">
        <f t="shared" si="0"/>
        <v>66.04</v>
      </c>
      <c r="E44" t="s">
        <v>64</v>
      </c>
      <c r="F44" t="s">
        <v>147</v>
      </c>
    </row>
    <row r="45" spans="1:6" ht="12.75">
      <c r="A45" t="s">
        <v>93</v>
      </c>
      <c r="B45">
        <v>78</v>
      </c>
      <c r="C45" t="s">
        <v>128</v>
      </c>
      <c r="D45" s="24">
        <f t="shared" si="0"/>
        <v>198.12</v>
      </c>
      <c r="E45" t="s">
        <v>64</v>
      </c>
      <c r="F45" t="s">
        <v>148</v>
      </c>
    </row>
    <row r="46" spans="1:6" ht="12.75">
      <c r="A46" t="s">
        <v>94</v>
      </c>
      <c r="B46">
        <v>179.6</v>
      </c>
      <c r="C46" t="s">
        <v>128</v>
      </c>
      <c r="D46" s="24">
        <f t="shared" si="0"/>
        <v>456.18399999999997</v>
      </c>
      <c r="E46" t="s">
        <v>64</v>
      </c>
      <c r="F46" t="s">
        <v>149</v>
      </c>
    </row>
    <row r="47" spans="1:6" ht="12.75">
      <c r="A47" t="s">
        <v>95</v>
      </c>
      <c r="B47">
        <v>1.25</v>
      </c>
      <c r="C47" t="s">
        <v>128</v>
      </c>
      <c r="D47" s="24">
        <f t="shared" si="0"/>
        <v>3.175</v>
      </c>
      <c r="E47" t="s">
        <v>64</v>
      </c>
      <c r="F47" t="s">
        <v>150</v>
      </c>
    </row>
    <row r="48" spans="1:6" ht="12.75">
      <c r="A48" t="s">
        <v>96</v>
      </c>
      <c r="B48">
        <v>2</v>
      </c>
      <c r="C48" t="s">
        <v>128</v>
      </c>
      <c r="D48" s="24">
        <f t="shared" si="0"/>
        <v>5.08</v>
      </c>
      <c r="E48" t="s">
        <v>64</v>
      </c>
      <c r="F48" t="s">
        <v>151</v>
      </c>
    </row>
    <row r="49" spans="1:6" ht="12.75">
      <c r="A49" t="s">
        <v>97</v>
      </c>
      <c r="B49">
        <v>3</v>
      </c>
      <c r="C49" t="s">
        <v>128</v>
      </c>
      <c r="D49" s="24">
        <f t="shared" si="0"/>
        <v>7.62</v>
      </c>
      <c r="E49" t="s">
        <v>64</v>
      </c>
      <c r="F49" t="s">
        <v>152</v>
      </c>
    </row>
    <row r="50" spans="1:6" ht="12.75">
      <c r="A50" t="s">
        <v>98</v>
      </c>
      <c r="B50">
        <v>0.118</v>
      </c>
      <c r="C50" t="s">
        <v>128</v>
      </c>
      <c r="D50" s="24">
        <f t="shared" si="0"/>
        <v>0.29972</v>
      </c>
      <c r="E50" t="s">
        <v>64</v>
      </c>
      <c r="F50" t="s">
        <v>153</v>
      </c>
    </row>
    <row r="51" spans="1:6" ht="12.75">
      <c r="A51" t="s">
        <v>99</v>
      </c>
      <c r="B51">
        <v>1.18</v>
      </c>
      <c r="C51" t="s">
        <v>128</v>
      </c>
      <c r="D51" s="24">
        <f t="shared" si="0"/>
        <v>2.9972</v>
      </c>
      <c r="E51" t="s">
        <v>64</v>
      </c>
      <c r="F51" t="s">
        <v>154</v>
      </c>
    </row>
    <row r="52" spans="1:6" ht="12.75">
      <c r="A52" t="s">
        <v>100</v>
      </c>
      <c r="B52">
        <v>0.354</v>
      </c>
      <c r="C52" t="s">
        <v>128</v>
      </c>
      <c r="D52" s="24">
        <f t="shared" si="0"/>
        <v>0.89916</v>
      </c>
      <c r="E52" t="s">
        <v>64</v>
      </c>
      <c r="F52" t="s">
        <v>155</v>
      </c>
    </row>
    <row r="53" spans="1:6" ht="12.75">
      <c r="A53" t="s">
        <v>101</v>
      </c>
      <c r="B53">
        <v>0.625</v>
      </c>
      <c r="C53" t="s">
        <v>128</v>
      </c>
      <c r="D53" s="24">
        <f t="shared" si="0"/>
        <v>1.5875</v>
      </c>
      <c r="E53" t="s">
        <v>64</v>
      </c>
      <c r="F53" t="s">
        <v>156</v>
      </c>
    </row>
    <row r="54" spans="1:6" ht="12.75">
      <c r="A54" t="s">
        <v>102</v>
      </c>
      <c r="B54">
        <v>1.95</v>
      </c>
      <c r="C54" t="s">
        <v>128</v>
      </c>
      <c r="D54" s="24">
        <f t="shared" si="0"/>
        <v>4.953</v>
      </c>
      <c r="E54" t="s">
        <v>64</v>
      </c>
      <c r="F54" t="s">
        <v>157</v>
      </c>
    </row>
    <row r="55" spans="1:6" ht="12.75">
      <c r="A55" t="s">
        <v>103</v>
      </c>
      <c r="B55">
        <v>2.88</v>
      </c>
      <c r="C55" t="s">
        <v>128</v>
      </c>
      <c r="D55" s="24">
        <f t="shared" si="0"/>
        <v>7.3152</v>
      </c>
      <c r="E55" t="s">
        <v>64</v>
      </c>
      <c r="F55" t="s">
        <v>158</v>
      </c>
    </row>
    <row r="56" spans="1:6" ht="12.75">
      <c r="A56" t="s">
        <v>104</v>
      </c>
      <c r="B56">
        <v>4.6</v>
      </c>
      <c r="C56" t="s">
        <v>128</v>
      </c>
      <c r="D56" s="24">
        <f t="shared" si="0"/>
        <v>11.684</v>
      </c>
      <c r="E56" t="s">
        <v>64</v>
      </c>
      <c r="F56" t="s">
        <v>159</v>
      </c>
    </row>
    <row r="57" spans="1:6" ht="12.75">
      <c r="A57" t="s">
        <v>105</v>
      </c>
      <c r="B57">
        <v>12.188</v>
      </c>
      <c r="C57" t="s">
        <v>128</v>
      </c>
      <c r="D57" s="24">
        <f t="shared" si="0"/>
        <v>30.957520000000002</v>
      </c>
      <c r="E57" t="s">
        <v>64</v>
      </c>
      <c r="F57" t="s">
        <v>160</v>
      </c>
    </row>
    <row r="58" spans="1:6" ht="12.75">
      <c r="A58" t="s">
        <v>106</v>
      </c>
      <c r="B58">
        <v>3</v>
      </c>
      <c r="C58" t="s">
        <v>128</v>
      </c>
      <c r="D58" s="24">
        <f t="shared" si="0"/>
        <v>7.62</v>
      </c>
      <c r="E58" t="s">
        <v>64</v>
      </c>
      <c r="F58" t="s">
        <v>161</v>
      </c>
    </row>
    <row r="59" spans="1:6" ht="12.75">
      <c r="A59" t="s">
        <v>107</v>
      </c>
      <c r="B59">
        <v>6.625</v>
      </c>
      <c r="C59" t="s">
        <v>128</v>
      </c>
      <c r="D59" s="24">
        <f t="shared" si="0"/>
        <v>16.8275</v>
      </c>
      <c r="E59" t="s">
        <v>64</v>
      </c>
      <c r="F59" t="s">
        <v>162</v>
      </c>
    </row>
    <row r="60" spans="1:6" ht="12.75">
      <c r="A60" t="s">
        <v>108</v>
      </c>
      <c r="B60">
        <v>9.5</v>
      </c>
      <c r="C60" t="s">
        <v>128</v>
      </c>
      <c r="D60" s="24">
        <f t="shared" si="0"/>
        <v>24.13</v>
      </c>
      <c r="E60" t="s">
        <v>64</v>
      </c>
      <c r="F60" t="s">
        <v>163</v>
      </c>
    </row>
    <row r="61" spans="1:6" ht="12.75">
      <c r="A61" t="s">
        <v>109</v>
      </c>
      <c r="B61">
        <v>0.875</v>
      </c>
      <c r="C61" t="s">
        <v>128</v>
      </c>
      <c r="D61" s="24">
        <f t="shared" si="0"/>
        <v>2.2225</v>
      </c>
      <c r="E61" t="s">
        <v>64</v>
      </c>
      <c r="F61" t="s">
        <v>164</v>
      </c>
    </row>
    <row r="62" spans="1:6" ht="12.75">
      <c r="A62" t="s">
        <v>110</v>
      </c>
      <c r="B62">
        <v>1.628</v>
      </c>
      <c r="C62" t="s">
        <v>128</v>
      </c>
      <c r="D62" s="24">
        <f t="shared" si="0"/>
        <v>4.13512</v>
      </c>
      <c r="E62" t="s">
        <v>64</v>
      </c>
      <c r="F62" t="s">
        <v>165</v>
      </c>
    </row>
    <row r="63" spans="1:6" ht="12.75">
      <c r="A63" t="s">
        <v>111</v>
      </c>
      <c r="B63">
        <v>2.5</v>
      </c>
      <c r="C63" t="s">
        <v>128</v>
      </c>
      <c r="D63" s="24">
        <f t="shared" si="0"/>
        <v>6.35</v>
      </c>
      <c r="E63" t="s">
        <v>64</v>
      </c>
      <c r="F63" t="s">
        <v>166</v>
      </c>
    </row>
    <row r="64" spans="1:6" ht="12.75">
      <c r="A64" t="s">
        <v>112</v>
      </c>
      <c r="B64">
        <v>5.5</v>
      </c>
      <c r="C64" t="s">
        <v>128</v>
      </c>
      <c r="D64" s="24">
        <f t="shared" si="0"/>
        <v>13.97</v>
      </c>
      <c r="E64" t="s">
        <v>64</v>
      </c>
      <c r="F64" t="s">
        <v>167</v>
      </c>
    </row>
    <row r="65" spans="1:6" ht="12.75">
      <c r="A65" t="s">
        <v>113</v>
      </c>
      <c r="B65">
        <v>0.25</v>
      </c>
      <c r="C65" t="s">
        <v>128</v>
      </c>
      <c r="D65" s="24">
        <f t="shared" si="0"/>
        <v>0.635</v>
      </c>
      <c r="E65" t="s">
        <v>64</v>
      </c>
      <c r="F65" t="s">
        <v>168</v>
      </c>
    </row>
    <row r="66" spans="1:6" ht="12.75">
      <c r="A66" t="s">
        <v>114</v>
      </c>
      <c r="B66">
        <v>41.5</v>
      </c>
      <c r="C66" t="s">
        <v>128</v>
      </c>
      <c r="D66" s="24">
        <f t="shared" si="0"/>
        <v>105.41</v>
      </c>
      <c r="E66" t="s">
        <v>64</v>
      </c>
      <c r="F66" t="s">
        <v>169</v>
      </c>
    </row>
    <row r="67" spans="1:6" ht="12.75">
      <c r="A67" t="s">
        <v>115</v>
      </c>
      <c r="B67">
        <v>10</v>
      </c>
      <c r="C67" t="s">
        <v>128</v>
      </c>
      <c r="D67" s="24">
        <f t="shared" si="0"/>
        <v>25.4</v>
      </c>
      <c r="E67" t="s">
        <v>64</v>
      </c>
      <c r="F67" t="s">
        <v>170</v>
      </c>
    </row>
    <row r="68" spans="1:6" ht="12.75">
      <c r="A68" t="s">
        <v>116</v>
      </c>
      <c r="B68">
        <v>19.6</v>
      </c>
      <c r="C68" t="s">
        <v>128</v>
      </c>
      <c r="D68" s="24">
        <f t="shared" si="0"/>
        <v>49.784000000000006</v>
      </c>
      <c r="E68" t="s">
        <v>64</v>
      </c>
      <c r="F68" t="s">
        <v>171</v>
      </c>
    </row>
    <row r="69" spans="1:6" ht="12.75">
      <c r="A69" t="s">
        <v>117</v>
      </c>
      <c r="B69">
        <v>2.25</v>
      </c>
      <c r="C69" t="s">
        <v>128</v>
      </c>
      <c r="D69" s="24">
        <f t="shared" si="0"/>
        <v>5.715</v>
      </c>
      <c r="E69" t="s">
        <v>64</v>
      </c>
      <c r="F69" t="s">
        <v>172</v>
      </c>
    </row>
    <row r="70" spans="1:6" ht="12.75">
      <c r="A70" t="s">
        <v>118</v>
      </c>
      <c r="B70">
        <v>3.5</v>
      </c>
      <c r="C70" t="s">
        <v>128</v>
      </c>
      <c r="D70" s="24">
        <f t="shared" si="0"/>
        <v>8.89</v>
      </c>
      <c r="E70" t="s">
        <v>64</v>
      </c>
      <c r="F70" t="s">
        <v>173</v>
      </c>
    </row>
    <row r="71" spans="1:6" ht="12.75">
      <c r="A71" t="s">
        <v>119</v>
      </c>
      <c r="B71">
        <v>0.25</v>
      </c>
      <c r="C71" t="s">
        <v>128</v>
      </c>
      <c r="D71" s="24">
        <f t="shared" si="0"/>
        <v>0.635</v>
      </c>
      <c r="E71" t="s">
        <v>64</v>
      </c>
      <c r="F71" t="s">
        <v>174</v>
      </c>
    </row>
    <row r="72" spans="1:6" ht="12.75">
      <c r="A72" t="s">
        <v>120</v>
      </c>
      <c r="B72">
        <v>10</v>
      </c>
      <c r="C72" t="s">
        <v>128</v>
      </c>
      <c r="D72" s="24">
        <f t="shared" si="0"/>
        <v>25.4</v>
      </c>
      <c r="E72" t="s">
        <v>64</v>
      </c>
      <c r="F72" t="s">
        <v>175</v>
      </c>
    </row>
    <row r="73" spans="1:6" ht="12.75">
      <c r="A73" t="s">
        <v>121</v>
      </c>
      <c r="B73">
        <v>11.5</v>
      </c>
      <c r="C73" t="s">
        <v>128</v>
      </c>
      <c r="D73" s="24">
        <f t="shared" si="0"/>
        <v>29.21</v>
      </c>
      <c r="E73" t="s">
        <v>64</v>
      </c>
      <c r="F73" t="s">
        <v>176</v>
      </c>
    </row>
    <row r="74" spans="1:6" ht="12.75">
      <c r="A74" t="s">
        <v>122</v>
      </c>
      <c r="B74">
        <v>0.25</v>
      </c>
      <c r="C74" t="s">
        <v>128</v>
      </c>
      <c r="D74" s="24">
        <f t="shared" si="0"/>
        <v>0.635</v>
      </c>
      <c r="E74" t="s">
        <v>64</v>
      </c>
      <c r="F74" t="s">
        <v>177</v>
      </c>
    </row>
    <row r="75" spans="1:6" ht="12.75">
      <c r="A75" t="s">
        <v>123</v>
      </c>
      <c r="B75">
        <v>9</v>
      </c>
      <c r="C75" t="s">
        <v>128</v>
      </c>
      <c r="D75" s="24">
        <f t="shared" si="0"/>
        <v>22.86</v>
      </c>
      <c r="E75" t="s">
        <v>64</v>
      </c>
      <c r="F75" t="s">
        <v>178</v>
      </c>
    </row>
    <row r="76" spans="1:6" ht="12.75">
      <c r="A76" t="s">
        <v>124</v>
      </c>
      <c r="B76">
        <v>0.25</v>
      </c>
      <c r="C76" t="s">
        <v>128</v>
      </c>
      <c r="D76" s="24">
        <f t="shared" si="0"/>
        <v>0.635</v>
      </c>
      <c r="E76" t="s">
        <v>64</v>
      </c>
      <c r="F76" t="s">
        <v>179</v>
      </c>
    </row>
    <row r="77" spans="1:6" ht="12.75">
      <c r="A77" t="s">
        <v>125</v>
      </c>
      <c r="B77">
        <v>400</v>
      </c>
      <c r="C77" t="s">
        <v>64</v>
      </c>
      <c r="F77" t="s">
        <v>180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Jones</cp:lastModifiedBy>
  <dcterms:created xsi:type="dcterms:W3CDTF">1996-10-14T23:33:28Z</dcterms:created>
  <dcterms:modified xsi:type="dcterms:W3CDTF">2006-03-26T06:37:04Z</dcterms:modified>
  <cp:category/>
  <cp:version/>
  <cp:contentType/>
  <cp:contentStatus/>
</cp:coreProperties>
</file>