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445" windowHeight="4860" activeTab="0"/>
  </bookViews>
  <sheets>
    <sheet name="results" sheetId="1" r:id="rId1"/>
    <sheet name="point-point model" sheetId="2" r:id="rId2"/>
    <sheet name="parallel-point model" sheetId="3" r:id="rId3"/>
    <sheet name="vertical-focus model" sheetId="4" r:id="rId4"/>
    <sheet name="Yang's focal plane" sheetId="5" r:id="rId5"/>
  </sheets>
  <definedNames/>
  <calcPr fullCalcOnLoad="1"/>
</workbook>
</file>

<file path=xl/sharedStrings.xml><?xml version="1.0" encoding="utf-8"?>
<sst xmlns="http://schemas.openxmlformats.org/spreadsheetml/2006/main" count="552" uniqueCount="101">
  <si>
    <t>m</t>
  </si>
  <si>
    <t>deg</t>
  </si>
  <si>
    <t>R</t>
  </si>
  <si>
    <t>x0</t>
  </si>
  <si>
    <t>y0</t>
  </si>
  <si>
    <t>alpha0</t>
  </si>
  <si>
    <t>theta [deg]</t>
  </si>
  <si>
    <t>alpha [deg]</t>
  </si>
  <si>
    <t>x of focus [m]</t>
  </si>
  <si>
    <t>B field</t>
  </si>
  <si>
    <t>T</t>
  </si>
  <si>
    <t>strength of uniform magnetic induction inside dipole</t>
  </si>
  <si>
    <t>bend radius of reference electron inside magnet</t>
  </si>
  <si>
    <t>e- momentum</t>
  </si>
  <si>
    <t>GeV/c</t>
  </si>
  <si>
    <t>x position of trajectory starting point, relative to pole corner (origin)</t>
  </si>
  <si>
    <t>y position of trajectory starting point, relative to pole corner (origin)</t>
  </si>
  <si>
    <t>y2 [m]</t>
  </si>
  <si>
    <t>D</t>
  </si>
  <si>
    <t>distance from point source to magnetic field boundary</t>
  </si>
  <si>
    <t>S</t>
  </si>
  <si>
    <t>distance from pole corner to nominal dipole entrance point</t>
  </si>
  <si>
    <t>theta0</t>
  </si>
  <si>
    <t>y of focus [m]</t>
  </si>
  <si>
    <t>momentum</t>
  </si>
  <si>
    <t>fx</t>
  </si>
  <si>
    <t>fy</t>
  </si>
  <si>
    <t>px</t>
  </si>
  <si>
    <t>pz</t>
  </si>
  <si>
    <t>The above block is repeated below for a series of electron momenta, abbreviated to eliminate shared constants</t>
  </si>
  <si>
    <t>fp in magnet coords</t>
  </si>
  <si>
    <t>fp in tagger hall coords</t>
  </si>
  <si>
    <t>(not really sure what the above numbers mean</t>
  </si>
  <si>
    <t>but they seem to be pairs of points in the photon beam coordinate system,</t>
  </si>
  <si>
    <t>maybe the extents of several counters along the focal plane?)</t>
  </si>
  <si>
    <t>[m]</t>
  </si>
  <si>
    <t>focal plane points (1)</t>
  </si>
  <si>
    <t>focal plane points (2)</t>
  </si>
  <si>
    <t>Yang's focal plane position sampled in points [m]</t>
  </si>
  <si>
    <t>[GeV]</t>
  </si>
  <si>
    <t>x</t>
  </si>
  <si>
    <t>y</t>
  </si>
  <si>
    <t>L</t>
  </si>
  <si>
    <t>W</t>
  </si>
  <si>
    <t>width of uniform field region</t>
  </si>
  <si>
    <t>length of uniform field region</t>
  </si>
  <si>
    <t>x1</t>
  </si>
  <si>
    <t>y1</t>
  </si>
  <si>
    <t>x2</t>
  </si>
  <si>
    <t>y2</t>
  </si>
  <si>
    <t>x position of trajectory at entrance to magnetic field, must be positive!!!</t>
  </si>
  <si>
    <t>y position of trajectory at entrance to magnetic field, must be zero!!!</t>
  </si>
  <si>
    <t>y position of trajectory at exit from magnetic field, should be L !!!</t>
  </si>
  <si>
    <t>momentum of electron beam</t>
  </si>
  <si>
    <t>x position of trajectory at exit from magnetic field, must be positive!!!</t>
  </si>
  <si>
    <t>nominal beam incidence angle at dipole entrance point</t>
  </si>
  <si>
    <t>exit angle of reference electron trajectory (assuming x=0 boundary exit)</t>
  </si>
  <si>
    <t>This model is described in excel-fp-model.pdf (scanned written notes by R. Jones)</t>
  </si>
  <si>
    <t>Note 1:</t>
  </si>
  <si>
    <t>The coordinate system used in this model has the magnetic field along the +z axis,</t>
  </si>
  <si>
    <t>with the y axis parallel to the long edge of the poles, and the x axis parallel to the short</t>
  </si>
  <si>
    <t>edge of the poles, with the incident beam direction in the first x,y quadrant.</t>
  </si>
  <si>
    <t>The origin of this coordinate system is at the low x, low y corner of the poles,</t>
  </si>
  <si>
    <t>with z=0 defining the symmetry midplane of the dipole.</t>
  </si>
  <si>
    <t>dipole B field</t>
  </si>
  <si>
    <t>quad B field</t>
  </si>
  <si>
    <t>T/m</t>
  </si>
  <si>
    <t>strength of quadrupole magnetic induction (+ to focus in xy plane)</t>
  </si>
  <si>
    <t>distance from source to dipole magnetic field boundary</t>
  </si>
  <si>
    <t>distance from source to center of quadrupole</t>
  </si>
  <si>
    <t>length of the quadrupole magnet</t>
  </si>
  <si>
    <t>D1</t>
  </si>
  <si>
    <t>L1</t>
  </si>
  <si>
    <t>dipole pole corners</t>
  </si>
  <si>
    <t>photon beam path</t>
  </si>
  <si>
    <t>electron beam path</t>
  </si>
  <si>
    <t>quadrupole corners</t>
  </si>
  <si>
    <t>x0 [m]</t>
  </si>
  <si>
    <t>y0 (image)</t>
  </si>
  <si>
    <t>x0 (image)</t>
  </si>
  <si>
    <t>s1</t>
  </si>
  <si>
    <t>distance from source to quadrupole center</t>
  </si>
  <si>
    <t>s2</t>
  </si>
  <si>
    <t>distance from quadrupole center to dipole entrance</t>
  </si>
  <si>
    <t>s3</t>
  </si>
  <si>
    <t>trajectory length inside the dipole</t>
  </si>
  <si>
    <t>f1</t>
  </si>
  <si>
    <t>f2</t>
  </si>
  <si>
    <t>f3</t>
  </si>
  <si>
    <t>vertical focal length of quadrupole (+ means converging)</t>
  </si>
  <si>
    <t>vertical focal length of dipole entrance edge (+ means converging)</t>
  </si>
  <si>
    <t>vertical focal length of dipole exit edge (+ means converging)</t>
  </si>
  <si>
    <t>f quad</t>
  </si>
  <si>
    <t>f dipole (exit)</t>
  </si>
  <si>
    <t>f dipole (entry)</t>
  </si>
  <si>
    <t>z1 [m], z1'</t>
  </si>
  <si>
    <t>z0 [m], z0'</t>
  </si>
  <si>
    <t>z2 [m], z2'</t>
  </si>
  <si>
    <t>distance to focus</t>
  </si>
  <si>
    <t>go to the first sheet to modify the values in the grayed-out box</t>
  </si>
  <si>
    <t>modifying the values in the green box automatically propagates the changes to all sheets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</si>
</sst>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4"/>
      <name val="Arial"/>
      <family val="0"/>
    </font>
    <font>
      <sz val="26.75"/>
      <name val="Arial"/>
      <family val="0"/>
    </font>
    <font>
      <sz val="10.75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2" fontId="0" fillId="2" borderId="11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9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0" fontId="0" fillId="2" borderId="11" xfId="0" applyNumberFormat="1" applyFill="1" applyBorder="1" applyAlignment="1">
      <alignment/>
    </xf>
    <xf numFmtId="2" fontId="0" fillId="0" borderId="5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20" xfId="0" applyFill="1" applyBorder="1" applyAlignment="1">
      <alignment/>
    </xf>
    <xf numFmtId="2" fontId="0" fillId="3" borderId="11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875"/>
          <c:h val="0.88175"/>
        </c:manualLayout>
      </c:layout>
      <c:scatterChart>
        <c:scatterStyle val="line"/>
        <c:varyColors val="0"/>
        <c:ser>
          <c:idx val="0"/>
          <c:order val="0"/>
          <c:tx>
            <c:v>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results!$E$14:$E$18</c:f>
              <c:numCache/>
            </c:numRef>
          </c:xVal>
          <c:yVal>
            <c:numRef>
              <c:f>results!$D$14:$D$18</c:f>
              <c:numCache/>
            </c:numRef>
          </c:yVal>
          <c:smooth val="0"/>
        </c:ser>
        <c:ser>
          <c:idx val="1"/>
          <c:order val="1"/>
          <c:tx>
            <c:v>beam axis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results!$E$28:$E$29</c:f>
              <c:numCache/>
            </c:numRef>
          </c:xVal>
          <c:yVal>
            <c:numRef>
              <c:f>results!$D$28:$D$29</c:f>
              <c:numCache/>
            </c:numRef>
          </c:yVal>
          <c:smooth val="0"/>
        </c:ser>
        <c:ser>
          <c:idx val="2"/>
          <c:order val="2"/>
          <c:tx>
            <c:v>pt-pt focal plane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'point-point model'!$E$56:$E$66</c:f>
              <c:numCache>
                <c:ptCount val="11"/>
                <c:pt idx="0">
                  <c:v>3.865216822382549</c:v>
                </c:pt>
                <c:pt idx="1">
                  <c:v>4.206836165029435</c:v>
                </c:pt>
                <c:pt idx="2">
                  <c:v>4.8972480091515544</c:v>
                </c:pt>
                <c:pt idx="3">
                  <c:v>6.054122961689629</c:v>
                </c:pt>
                <c:pt idx="4">
                  <c:v>7.112423430252096</c:v>
                </c:pt>
                <c:pt idx="5">
                  <c:v>8.132264302155413</c:v>
                </c:pt>
                <c:pt idx="6">
                  <c:v>9.13329542405784</c:v>
                </c:pt>
                <c:pt idx="7">
                  <c:v>10.124111460417705</c:v>
                </c:pt>
                <c:pt idx="8">
                  <c:v>11.109065283079946</c:v>
                </c:pt>
                <c:pt idx="9">
                  <c:v>12.090566480640533</c:v>
                </c:pt>
                <c:pt idx="10">
                  <c:v>13.070029828217576</c:v>
                </c:pt>
              </c:numCache>
            </c:numRef>
          </c:xVal>
          <c:yVal>
            <c:numRef>
              <c:f>'point-point model'!$D$56:$D$66</c:f>
              <c:numCache>
                <c:ptCount val="11"/>
                <c:pt idx="0">
                  <c:v>-0.39264593888646065</c:v>
                </c:pt>
                <c:pt idx="1">
                  <c:v>-0.46659594889213885</c:v>
                </c:pt>
                <c:pt idx="2">
                  <c:v>-0.5929990355215745</c:v>
                </c:pt>
                <c:pt idx="3">
                  <c:v>-0.7906946801452884</c:v>
                </c:pt>
                <c:pt idx="4">
                  <c:v>-0.9695498839692058</c:v>
                </c:pt>
                <c:pt idx="5">
                  <c:v>-1.142027931896065</c:v>
                </c:pt>
                <c:pt idx="6">
                  <c:v>-1.311648164365631</c:v>
                </c:pt>
                <c:pt idx="7">
                  <c:v>-1.479839503709576</c:v>
                </c:pt>
                <c:pt idx="8">
                  <c:v>-1.6472881083324418</c:v>
                </c:pt>
                <c:pt idx="9">
                  <c:v>-1.8143564316164367</c:v>
                </c:pt>
                <c:pt idx="10">
                  <c:v>-1.981247448314904</c:v>
                </c:pt>
              </c:numCache>
            </c:numRef>
          </c:yVal>
          <c:smooth val="0"/>
        </c:ser>
        <c:ser>
          <c:idx val="3"/>
          <c:order val="3"/>
          <c:tx>
            <c:v>Yang's focal plane (1)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results!$C$51:$C$59</c:f>
              <c:numCache/>
            </c:numRef>
          </c:xVal>
          <c:yVal>
            <c:numRef>
              <c:f>results!$B$51:$B$59</c:f>
              <c:numCache/>
            </c:numRef>
          </c:yVal>
          <c:smooth val="0"/>
        </c:ser>
        <c:ser>
          <c:idx val="5"/>
          <c:order val="4"/>
          <c:tx>
            <c:v>beam path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results!$E$32:$E$47</c:f>
              <c:numCache/>
            </c:numRef>
          </c:xVal>
          <c:yVal>
            <c:numRef>
              <c:f>results!$D$32:$D$47</c:f>
              <c:numCache/>
            </c:numRef>
          </c:yVal>
          <c:smooth val="0"/>
        </c:ser>
        <c:ser>
          <c:idx val="4"/>
          <c:order val="5"/>
          <c:tx>
            <c:v>quad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results!$E$21:$E$25</c:f>
              <c:numCache/>
            </c:numRef>
          </c:xVal>
          <c:yVal>
            <c:numRef>
              <c:f>results!$D$21:$D$25</c:f>
              <c:numCache/>
            </c:numRef>
          </c:yVal>
          <c:smooth val="0"/>
        </c:ser>
        <c:ser>
          <c:idx val="6"/>
          <c:order val="6"/>
          <c:tx>
            <c:v>par-pt focal plane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'parallel-point model'!$E$56:$E$66</c:f>
              <c:numCache>
                <c:ptCount val="11"/>
                <c:pt idx="0">
                  <c:v>3.862458832531569</c:v>
                </c:pt>
                <c:pt idx="1">
                  <c:v>4.197053909932503</c:v>
                </c:pt>
                <c:pt idx="2">
                  <c:v>4.855106248924098</c:v>
                </c:pt>
                <c:pt idx="3">
                  <c:v>5.910479490696488</c:v>
                </c:pt>
                <c:pt idx="4">
                  <c:v>6.841402866872202</c:v>
                </c:pt>
                <c:pt idx="5">
                  <c:v>7.718802833561827</c:v>
                </c:pt>
                <c:pt idx="6">
                  <c:v>8.567025218738221</c:v>
                </c:pt>
                <c:pt idx="7">
                  <c:v>9.397244731753187</c:v>
                </c:pt>
                <c:pt idx="8">
                  <c:v>10.215450257457583</c:v>
                </c:pt>
                <c:pt idx="9">
                  <c:v>11.0251865267999</c:v>
                </c:pt>
                <c:pt idx="10">
                  <c:v>11.828703669481573</c:v>
                </c:pt>
              </c:numCache>
            </c:numRef>
          </c:xVal>
          <c:yVal>
            <c:numRef>
              <c:f>'parallel-point model'!$D$56:$D$66</c:f>
              <c:numCache>
                <c:ptCount val="11"/>
                <c:pt idx="0">
                  <c:v>-0.39028642016572185</c:v>
                </c:pt>
                <c:pt idx="1">
                  <c:v>-0.4602319822859416</c:v>
                </c:pt>
                <c:pt idx="2">
                  <c:v>-0.5726695590425467</c:v>
                </c:pt>
                <c:pt idx="3">
                  <c:v>-0.736000785060028</c:v>
                </c:pt>
                <c:pt idx="4">
                  <c:v>-0.8773242776052792</c:v>
                </c:pt>
                <c:pt idx="5">
                  <c:v>-1.010644015491052</c:v>
                </c:pt>
                <c:pt idx="6">
                  <c:v>-1.139946550796473</c:v>
                </c:pt>
                <c:pt idx="7">
                  <c:v>-1.2668904617796968</c:v>
                </c:pt>
                <c:pt idx="8">
                  <c:v>-1.3923113475406974</c:v>
                </c:pt>
                <c:pt idx="9">
                  <c:v>-1.5166832639029826</c:v>
                </c:pt>
                <c:pt idx="10">
                  <c:v>-1.640298040306473</c:v>
                </c:pt>
              </c:numCache>
            </c:numRef>
          </c:yVal>
          <c:smooth val="0"/>
        </c:ser>
        <c:ser>
          <c:idx val="7"/>
          <c:order val="7"/>
          <c:tx>
            <c:v>vertical focal plane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'vertical-focus model'!$E$59:$E$69</c:f>
              <c:numCache>
                <c:ptCount val="11"/>
                <c:pt idx="0">
                  <c:v>5.35448915070308</c:v>
                </c:pt>
                <c:pt idx="1">
                  <c:v>5.615850807617831</c:v>
                </c:pt>
                <c:pt idx="2">
                  <c:v>5.939002056122496</c:v>
                </c:pt>
                <c:pt idx="3">
                  <c:v>6.351258278837668</c:v>
                </c:pt>
                <c:pt idx="4">
                  <c:v>6.898817353215769</c:v>
                </c:pt>
                <c:pt idx="5">
                  <c:v>7.666484894892742</c:v>
                </c:pt>
                <c:pt idx="6">
                  <c:v>8.828656660527464</c:v>
                </c:pt>
                <c:pt idx="7">
                  <c:v>10.81008299889018</c:v>
                </c:pt>
                <c:pt idx="8">
                  <c:v>14.986600799653838</c:v>
                </c:pt>
                <c:pt idx="9">
                  <c:v>29.732384915529348</c:v>
                </c:pt>
                <c:pt idx="10">
                  <c:v>999</c:v>
                </c:pt>
              </c:numCache>
            </c:numRef>
          </c:xVal>
          <c:yVal>
            <c:numRef>
              <c:f>'vertical-focus model'!$D$59:$D$69</c:f>
              <c:numCache>
                <c:ptCount val="11"/>
                <c:pt idx="0">
                  <c:v>-0.38418356732974257</c:v>
                </c:pt>
                <c:pt idx="1">
                  <c:v>-0.46028108211586016</c:v>
                </c:pt>
                <c:pt idx="2">
                  <c:v>-0.5561401349187427</c:v>
                </c:pt>
                <c:pt idx="3">
                  <c:v>-0.680501427963981</c:v>
                </c:pt>
                <c:pt idx="4">
                  <c:v>-0.8481473148974292</c:v>
                </c:pt>
                <c:pt idx="5">
                  <c:v>-1.0862131959224277</c:v>
                </c:pt>
                <c:pt idx="6">
                  <c:v>-1.4505001021142057</c:v>
                </c:pt>
                <c:pt idx="7">
                  <c:v>-2.076913670277006</c:v>
                </c:pt>
                <c:pt idx="8">
                  <c:v>-3.4056737136627873</c:v>
                </c:pt>
                <c:pt idx="9">
                  <c:v>-8.116221872156384</c:v>
                </c:pt>
                <c:pt idx="10">
                  <c:v>-999</c:v>
                </c:pt>
              </c:numCache>
            </c:numRef>
          </c:yVal>
          <c:smooth val="0"/>
        </c:ser>
        <c:axId val="11849533"/>
        <c:axId val="39536934"/>
      </c:scatterChart>
      <c:valAx>
        <c:axId val="11849533"/>
        <c:scaling>
          <c:orientation val="minMax"/>
          <c:max val="15"/>
          <c:min val="0"/>
        </c:scaling>
        <c:axPos val="b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9536934"/>
        <c:crossesAt val="-3"/>
        <c:crossBetween val="midCat"/>
        <c:dispUnits/>
        <c:majorUnit val="1"/>
        <c:minorUnit val="0.5"/>
      </c:valAx>
      <c:valAx>
        <c:axId val="39536934"/>
        <c:scaling>
          <c:orientation val="minMax"/>
          <c:max val="0.4"/>
          <c:min val="-3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49533"/>
        <c:crossesAt val="0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5"/>
          <c:y val="0.931"/>
          <c:w val="0.83975"/>
          <c:h val="0.06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12</xdr:row>
      <xdr:rowOff>47625</xdr:rowOff>
    </xdr:from>
    <xdr:to>
      <xdr:col>20</xdr:col>
      <xdr:colOff>95250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3752850" y="1990725"/>
        <a:ext cx="9058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2">
      <selection activeCell="C10" sqref="C10"/>
    </sheetView>
  </sheetViews>
  <sheetFormatPr defaultColWidth="9.140625" defaultRowHeight="12.75"/>
  <cols>
    <col min="1" max="1" width="16.7109375" style="0" customWidth="1"/>
    <col min="2" max="2" width="9.57421875" style="0" bestFit="1" customWidth="1"/>
    <col min="4" max="4" width="9.00390625" style="0" customWidth="1"/>
  </cols>
  <sheetData>
    <row r="1" ht="12.75">
      <c r="B1" s="51" t="s">
        <v>100</v>
      </c>
    </row>
    <row r="2" spans="1:9" ht="12.75">
      <c r="A2" s="20" t="s">
        <v>13</v>
      </c>
      <c r="B2" s="21">
        <v>12</v>
      </c>
      <c r="C2" s="21" t="s">
        <v>14</v>
      </c>
      <c r="D2" s="25" t="s">
        <v>53</v>
      </c>
      <c r="E2" s="26"/>
      <c r="F2" s="26"/>
      <c r="G2" s="26"/>
      <c r="H2" s="26"/>
      <c r="I2" s="31"/>
    </row>
    <row r="3" spans="1:9" ht="12.75">
      <c r="A3" s="22" t="s">
        <v>64</v>
      </c>
      <c r="B3" s="23">
        <v>1.5</v>
      </c>
      <c r="C3" s="23" t="s">
        <v>10</v>
      </c>
      <c r="D3" s="25" t="s">
        <v>11</v>
      </c>
      <c r="E3" s="26"/>
      <c r="F3" s="26"/>
      <c r="G3" s="26"/>
      <c r="H3" s="26"/>
      <c r="I3" s="31"/>
    </row>
    <row r="4" spans="1:9" ht="12.75">
      <c r="A4" s="22" t="s">
        <v>65</v>
      </c>
      <c r="B4" s="36">
        <v>-4.7</v>
      </c>
      <c r="C4" s="23" t="s">
        <v>66</v>
      </c>
      <c r="D4" s="25" t="s">
        <v>67</v>
      </c>
      <c r="E4" s="26"/>
      <c r="F4" s="26"/>
      <c r="G4" s="26"/>
      <c r="H4" s="26"/>
      <c r="I4" s="31"/>
    </row>
    <row r="5" spans="1:9" ht="12.75">
      <c r="A5" s="22" t="s">
        <v>43</v>
      </c>
      <c r="B5" s="24">
        <v>0.41</v>
      </c>
      <c r="C5" s="23" t="s">
        <v>0</v>
      </c>
      <c r="D5" s="25" t="s">
        <v>44</v>
      </c>
      <c r="E5" s="26"/>
      <c r="F5" s="26"/>
      <c r="G5" s="26"/>
      <c r="H5" s="26"/>
      <c r="I5" s="31"/>
    </row>
    <row r="6" spans="1:9" ht="12.75">
      <c r="A6" s="22" t="s">
        <v>42</v>
      </c>
      <c r="B6" s="24">
        <v>6</v>
      </c>
      <c r="C6" s="23" t="s">
        <v>0</v>
      </c>
      <c r="D6" s="25" t="s">
        <v>45</v>
      </c>
      <c r="E6" s="26"/>
      <c r="F6" s="26"/>
      <c r="G6" s="26"/>
      <c r="H6" s="26"/>
      <c r="I6" s="31"/>
    </row>
    <row r="7" spans="1:9" ht="12.75">
      <c r="A7" s="22" t="s">
        <v>18</v>
      </c>
      <c r="B7" s="24">
        <v>3.16</v>
      </c>
      <c r="C7" s="23" t="s">
        <v>0</v>
      </c>
      <c r="D7" s="25" t="s">
        <v>68</v>
      </c>
      <c r="E7" s="26"/>
      <c r="F7" s="26"/>
      <c r="G7" s="26"/>
      <c r="H7" s="26"/>
      <c r="I7" s="31"/>
    </row>
    <row r="8" spans="1:9" ht="12.75">
      <c r="A8" s="22" t="s">
        <v>20</v>
      </c>
      <c r="B8" s="24">
        <v>0.11</v>
      </c>
      <c r="C8" s="23" t="s">
        <v>0</v>
      </c>
      <c r="D8" s="25" t="s">
        <v>21</v>
      </c>
      <c r="E8" s="26"/>
      <c r="F8" s="26"/>
      <c r="G8" s="26"/>
      <c r="H8" s="26"/>
      <c r="I8" s="31"/>
    </row>
    <row r="9" spans="1:9" ht="12.75">
      <c r="A9" s="22" t="s">
        <v>22</v>
      </c>
      <c r="B9" s="24">
        <v>6.5</v>
      </c>
      <c r="C9" s="23" t="s">
        <v>1</v>
      </c>
      <c r="D9" s="25" t="s">
        <v>55</v>
      </c>
      <c r="E9" s="26"/>
      <c r="F9" s="26"/>
      <c r="G9" s="26"/>
      <c r="H9" s="26"/>
      <c r="I9" s="31"/>
    </row>
    <row r="10" spans="1:9" ht="12.75">
      <c r="A10" s="22" t="s">
        <v>71</v>
      </c>
      <c r="B10" s="24">
        <v>0.7</v>
      </c>
      <c r="C10" s="23" t="s">
        <v>0</v>
      </c>
      <c r="D10" s="25" t="s">
        <v>69</v>
      </c>
      <c r="E10" s="26"/>
      <c r="F10" s="26"/>
      <c r="G10" s="26"/>
      <c r="H10" s="26"/>
      <c r="I10" s="31"/>
    </row>
    <row r="11" spans="1:9" ht="12.75">
      <c r="A11" s="22" t="s">
        <v>72</v>
      </c>
      <c r="B11" s="24">
        <v>0.4</v>
      </c>
      <c r="C11" s="23" t="s">
        <v>0</v>
      </c>
      <c r="D11" s="25" t="s">
        <v>70</v>
      </c>
      <c r="E11" s="26"/>
      <c r="F11" s="26"/>
      <c r="G11" s="26"/>
      <c r="H11" s="26"/>
      <c r="I11" s="31"/>
    </row>
    <row r="13" spans="1:5" ht="12.75">
      <c r="A13" t="s">
        <v>73</v>
      </c>
      <c r="B13" s="15" t="s">
        <v>40</v>
      </c>
      <c r="C13" s="15" t="s">
        <v>41</v>
      </c>
      <c r="D13" s="15" t="s">
        <v>27</v>
      </c>
      <c r="E13" s="15" t="s">
        <v>28</v>
      </c>
    </row>
    <row r="14" spans="1:5" ht="12.75">
      <c r="A14" s="14" t="s">
        <v>35</v>
      </c>
      <c r="B14" s="16">
        <v>0</v>
      </c>
      <c r="C14" s="16">
        <v>0</v>
      </c>
      <c r="D14" s="16">
        <f>(B14-'point-point model'!B$20)*COS(RADIANS('point-point model'!B$16))-(C14-'point-point model'!B$21)*SIN(RADIANS('point-point model'!B$16))</f>
        <v>-0.10929290412442463</v>
      </c>
      <c r="E14" s="16">
        <f>(B14-'point-point model'!B$20)*SIN(RADIANS('point-point model'!B$16))+(C14-'point-point model'!B$21)*COS(RADIANS('point-point model'!B$16))</f>
        <v>3.14754764648553</v>
      </c>
    </row>
    <row r="15" spans="2:5" ht="12.75">
      <c r="B15" s="16">
        <f>'point-point model'!B12</f>
        <v>0.41</v>
      </c>
      <c r="C15" s="16">
        <v>0</v>
      </c>
      <c r="D15" s="16">
        <f>(B15-'point-point model'!B$20)*COS(RADIANS('point-point model'!B$16))-(C15-'point-point model'!B$21)*SIN(RADIANS('point-point model'!B$16))</f>
        <v>0.29807155670297625</v>
      </c>
      <c r="E15" s="16">
        <f>(B15-'point-point model'!B$20)*SIN(RADIANS('point-point model'!B$16))+(C15-'point-point model'!B$21)*COS(RADIANS('point-point model'!B$16))</f>
        <v>3.1939609641303717</v>
      </c>
    </row>
    <row r="16" spans="2:5" ht="12.75">
      <c r="B16" s="16">
        <f>'point-point model'!B12</f>
        <v>0.41</v>
      </c>
      <c r="C16" s="16">
        <f>'point-point model'!B13</f>
        <v>6</v>
      </c>
      <c r="D16" s="16">
        <f>(B16-'point-point model'!B$20)*COS(RADIANS('point-point model'!B$16))-(C16-'point-point model'!B$21)*SIN(RADIANS('point-point model'!B$16))</f>
        <v>-0.381147725904464</v>
      </c>
      <c r="E16" s="16">
        <f>(B16-'point-point model'!B$20)*SIN(RADIANS('point-point model'!B$16))+(C16-'point-point model'!B$21)*COS(RADIANS('point-point model'!B$16))</f>
        <v>9.155392098189896</v>
      </c>
    </row>
    <row r="17" spans="2:5" ht="12.75">
      <c r="B17" s="16">
        <v>0</v>
      </c>
      <c r="C17" s="16">
        <f>'point-point model'!B13</f>
        <v>6</v>
      </c>
      <c r="D17" s="16">
        <f>(B17-'point-point model'!B$20)*COS(RADIANS('point-point model'!B$16))-(C17-'point-point model'!B$21)*SIN(RADIANS('point-point model'!B$16))</f>
        <v>-0.7885121867318649</v>
      </c>
      <c r="E17" s="16">
        <f>(B17-'point-point model'!B$20)*SIN(RADIANS('point-point model'!B$16))+(C17-'point-point model'!B$21)*COS(RADIANS('point-point model'!B$16))</f>
        <v>9.108978780545055</v>
      </c>
    </row>
    <row r="18" spans="2:5" ht="12.75">
      <c r="B18" s="16">
        <v>0</v>
      </c>
      <c r="C18" s="16">
        <v>0</v>
      </c>
      <c r="D18" s="16">
        <f>(B18-'point-point model'!B$20)*COS(RADIANS('point-point model'!B$16))-(C18-'point-point model'!B$21)*SIN(RADIANS('point-point model'!B$16))</f>
        <v>-0.10929290412442463</v>
      </c>
      <c r="E18" s="16">
        <f>(B18-'point-point model'!B$20)*SIN(RADIANS('point-point model'!B$16))+(C18-'point-point model'!B$21)*COS(RADIANS('point-point model'!B$16))</f>
        <v>3.14754764648553</v>
      </c>
    </row>
    <row r="19" spans="2:3" ht="12.75">
      <c r="B19" s="16"/>
      <c r="C19" s="16"/>
    </row>
    <row r="20" spans="1:5" ht="12.75">
      <c r="A20" t="s">
        <v>76</v>
      </c>
      <c r="B20" s="33"/>
      <c r="C20" s="33"/>
      <c r="D20" s="15" t="s">
        <v>27</v>
      </c>
      <c r="E20" s="15" t="s">
        <v>28</v>
      </c>
    </row>
    <row r="21" spans="4:5" ht="12.75">
      <c r="D21" s="16">
        <v>-0.1</v>
      </c>
      <c r="E21" s="16">
        <f>B10-B11/2</f>
        <v>0.49999999999999994</v>
      </c>
    </row>
    <row r="22" spans="4:5" ht="12.75">
      <c r="D22" s="16">
        <v>-0.1</v>
      </c>
      <c r="E22" s="16">
        <f>B10+B11/2</f>
        <v>0.8999999999999999</v>
      </c>
    </row>
    <row r="23" spans="4:5" ht="12.75">
      <c r="D23" s="16">
        <v>0.1</v>
      </c>
      <c r="E23" s="16">
        <f>E22</f>
        <v>0.8999999999999999</v>
      </c>
    </row>
    <row r="24" spans="4:5" ht="12.75">
      <c r="D24" s="16">
        <v>0.1</v>
      </c>
      <c r="E24" s="16">
        <f>E21</f>
        <v>0.49999999999999994</v>
      </c>
    </row>
    <row r="25" spans="4:5" ht="12.75">
      <c r="D25" s="16">
        <v>-0.1</v>
      </c>
      <c r="E25" s="16">
        <f>E21</f>
        <v>0.49999999999999994</v>
      </c>
    </row>
    <row r="26" spans="2:5" ht="12.75">
      <c r="B26" s="16"/>
      <c r="C26" s="16"/>
      <c r="D26" s="16"/>
      <c r="E26" s="16"/>
    </row>
    <row r="27" spans="1:5" ht="12.75">
      <c r="A27" t="s">
        <v>74</v>
      </c>
      <c r="B27" s="16"/>
      <c r="C27" s="16"/>
      <c r="D27" s="15" t="s">
        <v>27</v>
      </c>
      <c r="E27" s="15" t="s">
        <v>28</v>
      </c>
    </row>
    <row r="28" spans="1:5" ht="12.75">
      <c r="A28" s="14" t="s">
        <v>35</v>
      </c>
      <c r="D28">
        <v>0</v>
      </c>
      <c r="E28">
        <v>0</v>
      </c>
    </row>
    <row r="29" spans="4:5" ht="12.75">
      <c r="D29">
        <v>0</v>
      </c>
      <c r="E29">
        <v>15</v>
      </c>
    </row>
    <row r="30" ht="12.75">
      <c r="A30" s="14"/>
    </row>
    <row r="31" spans="1:5" ht="12.75">
      <c r="A31" s="32" t="s">
        <v>75</v>
      </c>
      <c r="B31" s="15" t="s">
        <v>40</v>
      </c>
      <c r="C31" s="15" t="s">
        <v>41</v>
      </c>
      <c r="D31" s="15" t="s">
        <v>27</v>
      </c>
      <c r="E31" s="15" t="s">
        <v>28</v>
      </c>
    </row>
    <row r="32" spans="1:5" ht="12.75">
      <c r="A32" s="14" t="s">
        <v>35</v>
      </c>
      <c r="B32" s="16">
        <f>IF(C32&lt;=0,'point-point model'!B$20+TAN(RADIANS('point-point model'!B$16))*(C32-'point-point model'!B$21),IF(C32&gt;'point-point model'!B$13,'point-point model'!B$24+TAN(RADIANS('point-point model'!B$26))*(C32-'point-point model'!B$25),'point-point model'!B$22-'point-point model'!B$19*COS(RADIANS('point-point model'!B$16))+SQRT('point-point model'!B$19^2-(C32-'point-point model'!B$23-'point-point model'!B$19*SIN(RADIANS('point-point model'!B$16)))^2)))</f>
        <v>-0.2318068249049365</v>
      </c>
      <c r="C32">
        <v>-3</v>
      </c>
      <c r="D32" s="16">
        <f>(B32-'point-point model'!B$20)*COS(RADIANS('point-point model'!B$16))-(C32-'point-point model'!B$21)*SIN(RADIANS('point-point model'!B$16))</f>
        <v>0</v>
      </c>
      <c r="E32" s="16">
        <f>(B32-'point-point model'!B$20)*SIN(RADIANS('point-point model'!B$16))+(C32-'point-point model'!B$21)*COS(RADIANS('point-point model'!B$16))</f>
        <v>0.1405908019031946</v>
      </c>
    </row>
    <row r="33" spans="1:5" ht="12.75">
      <c r="A33" s="14"/>
      <c r="B33" s="16">
        <f>IF(C33&lt;=0,'point-point model'!B$20+TAN(RADIANS('point-point model'!B$16))*(C33-'point-point model'!B$21),IF(C33&gt;'point-point model'!B$13,'point-point model'!B$24+TAN(RADIANS('point-point model'!B$26))*(C33-'point-point model'!B$25),'point-point model'!B$22-'point-point model'!B$19*COS(RADIANS('point-point model'!B$16))+SQRT('point-point model'!B$19^2-(C33-'point-point model'!B$23-'point-point model'!B$19*SIN(RADIANS('point-point model'!B$16)))^2)))</f>
        <v>-0.11787121660329103</v>
      </c>
      <c r="C33">
        <v>-2</v>
      </c>
      <c r="D33" s="16">
        <f>(B33-'point-point model'!B$20)*COS(RADIANS('point-point model'!B$16))-(C33-'point-point model'!B$21)*SIN(RADIANS('point-point model'!B$16))</f>
        <v>0</v>
      </c>
      <c r="E33" s="16">
        <f>(B33-'point-point model'!B$20)*SIN(RADIANS('point-point model'!B$16))+(C33-'point-point model'!B$21)*COS(RADIANS('point-point model'!B$16))</f>
        <v>1.1470605346021299</v>
      </c>
    </row>
    <row r="34" spans="1:5" ht="12.75">
      <c r="A34" s="14"/>
      <c r="B34" s="16">
        <f>IF(C34&lt;=0,'point-point model'!B$20+TAN(RADIANS('point-point model'!B$16))*(C34-'point-point model'!B$21),IF(C34&gt;'point-point model'!B$13,'point-point model'!B$24+TAN(RADIANS('point-point model'!B$26))*(C34-'point-point model'!B$25),'point-point model'!B$22-'point-point model'!B$19*COS(RADIANS('point-point model'!B$16))+SQRT('point-point model'!B$19^2-(C34-'point-point model'!B$23-'point-point model'!B$19*SIN(RADIANS('point-point model'!B$16)))^2)))</f>
        <v>-0.003935608301645521</v>
      </c>
      <c r="C34">
        <v>-1</v>
      </c>
      <c r="D34" s="16">
        <f>(B34-'point-point model'!B$20)*COS(RADIANS('point-point model'!B$16))-(C34-'point-point model'!B$21)*SIN(RADIANS('point-point model'!B$16))</f>
        <v>0</v>
      </c>
      <c r="E34" s="16">
        <f>(B34-'point-point model'!B$20)*SIN(RADIANS('point-point model'!B$16))+(C34-'point-point model'!B$21)*COS(RADIANS('point-point model'!B$16))</f>
        <v>2.1535302673010652</v>
      </c>
    </row>
    <row r="35" spans="1:5" ht="12.75">
      <c r="A35" s="14"/>
      <c r="B35" s="16">
        <f>IF(C35&lt;=0,'point-point model'!B$20+TAN(RADIANS('point-point model'!B$16))*(C35-'point-point model'!B$21),IF(C35&gt;'point-point model'!B$13,'point-point model'!B$24+TAN(RADIANS('point-point model'!B$26))*(C35-'point-point model'!B$25),'point-point model'!B$22-'point-point model'!B$19*COS(RADIANS('point-point model'!B$16))+SQRT('point-point model'!B$19^2-(C35-'point-point model'!B$23-'point-point model'!B$19*SIN(RADIANS('point-point model'!B$16)))^2)))</f>
        <v>0.10999999999999999</v>
      </c>
      <c r="C35">
        <v>0</v>
      </c>
      <c r="D35" s="16">
        <f>(B35-'point-point model'!B$20)*COS(RADIANS('point-point model'!B$16))-(C35-'point-point model'!B$21)*SIN(RADIANS('point-point model'!B$16))</f>
        <v>0</v>
      </c>
      <c r="E35" s="16">
        <f>(B35-'point-point model'!B$20)*SIN(RADIANS('point-point model'!B$16))+(C35-'point-point model'!B$21)*COS(RADIANS('point-point model'!B$16))</f>
        <v>3.1599999999999997</v>
      </c>
    </row>
    <row r="36" spans="1:5" ht="12.75">
      <c r="A36" s="14"/>
      <c r="B36" s="16">
        <f>IF(C36&lt;=0,'point-point model'!B$20+TAN(RADIANS('point-point model'!B$16))*(C36-'point-point model'!B$21),IF(C36&gt;'point-point model'!B$13,'point-point model'!B$24+TAN(RADIANS('point-point model'!B$26))*(C36-'point-point model'!B$25),'point-point model'!B$22-'point-point model'!B$19*COS(RADIANS('point-point model'!B$16))+SQRT('point-point model'!B$19^2-(C36-'point-point model'!B$23-'point-point model'!B$19*SIN(RADIANS('point-point model'!B$16)))^2)))</f>
        <v>0.20489436580939113</v>
      </c>
      <c r="C36">
        <v>1</v>
      </c>
      <c r="D36" s="16">
        <f>(B36-'point-point model'!B$20)*COS(RADIANS('point-point model'!B$16))-(C36-'point-point model'!B$21)*SIN(RADIANS('point-point model'!B$16))</f>
        <v>-0.018918842637417</v>
      </c>
      <c r="E36" s="16">
        <f>(B36-'point-point model'!B$20)*SIN(RADIANS('point-point model'!B$16))+(C36-'point-point model'!B$21)*COS(RADIANS('point-point model'!B$16))</f>
        <v>4.164314202854677</v>
      </c>
    </row>
    <row r="37" spans="1:5" ht="12.75">
      <c r="A37" s="14"/>
      <c r="B37" s="16">
        <f>IF(C37&lt;=0,'point-point model'!B$20+TAN(RADIANS('point-point model'!B$16))*(C37-'point-point model'!B$21),IF(C37&gt;'point-point model'!B$13,'point-point model'!B$24+TAN(RADIANS('point-point model'!B$26))*(C37-'point-point model'!B$25),'point-point model'!B$22-'point-point model'!B$19*COS(RADIANS('point-point model'!B$16))+SQRT('point-point model'!B$19^2-(C37-'point-point model'!B$23-'point-point model'!B$19*SIN(RADIANS('point-point model'!B$16)))^2)))</f>
        <v>0.2619502692154114</v>
      </c>
      <c r="C37">
        <v>2</v>
      </c>
      <c r="D37" s="16">
        <f>(B37-'point-point model'!B$20)*COS(RADIANS('point-point model'!B$16))-(C37-'point-point model'!B$21)*SIN(RADIANS('point-point model'!B$16))</f>
        <v>-0.07543291658090001</v>
      </c>
      <c r="E37" s="16">
        <f>(B37-'point-point model'!B$20)*SIN(RADIANS('point-point model'!B$16))+(C37-'point-point model'!B$21)*COS(RADIANS('point-point model'!B$16))</f>
        <v>5.164344970161258</v>
      </c>
    </row>
    <row r="38" spans="1:5" ht="12.75">
      <c r="A38" s="14"/>
      <c r="B38" s="16">
        <f>IF(C38&lt;=0,'point-point model'!B$20+TAN(RADIANS('point-point model'!B$16))*(C38-'point-point model'!B$21),IF(C38&gt;'point-point model'!B$13,'point-point model'!B$24+TAN(RADIANS('point-point model'!B$26))*(C38-'point-point model'!B$25),'point-point model'!B$22-'point-point model'!B$19*COS(RADIANS('point-point model'!B$16))+SQRT('point-point model'!B$19^2-(C38-'point-point model'!B$23-'point-point model'!B$19*SIN(RADIANS('point-point model'!B$16)))^2)))</f>
        <v>0.2814105884954756</v>
      </c>
      <c r="C38">
        <v>3</v>
      </c>
      <c r="D38" s="16">
        <f>(B38-'point-point model'!B$20)*COS(RADIANS('point-point model'!B$16))-(C38-'point-point model'!B$21)*SIN(RADIANS('point-point model'!B$16))</f>
        <v>-0.16930090480965443</v>
      </c>
      <c r="E38" s="16">
        <f>(B38-'point-point model'!B$20)*SIN(RADIANS('point-point model'!B$16))+(C38-'point-point model'!B$21)*COS(RADIANS('point-point model'!B$16))</f>
        <v>6.160119796521298</v>
      </c>
    </row>
    <row r="39" spans="1:5" ht="12.75">
      <c r="A39" s="14"/>
      <c r="B39" s="16">
        <f>IF(C39&lt;=0,'point-point model'!B$20+TAN(RADIANS('point-point model'!B$16))*(C39-'point-point model'!B$21),IF(C39&gt;'point-point model'!B$13,'point-point model'!B$24+TAN(RADIANS('point-point model'!B$26))*(C39-'point-point model'!B$25),'point-point model'!B$22-'point-point model'!B$19*COS(RADIANS('point-point model'!B$16))+SQRT('point-point model'!B$19^2-(C39-'point-point model'!B$23-'point-point model'!B$19*SIN(RADIANS('point-point model'!B$16)))^2)))</f>
        <v>0.26335768703875573</v>
      </c>
      <c r="C39">
        <v>4</v>
      </c>
      <c r="D39" s="16">
        <f>(B39-'point-point model'!B$20)*COS(RADIANS('point-point model'!B$16))-(C39-'point-point model'!B$21)*SIN(RADIANS('point-point model'!B$16))</f>
        <v>-0.3004409733782609</v>
      </c>
      <c r="E39" s="16">
        <f>(B39-'point-point model'!B$20)*SIN(RADIANS('point-point model'!B$16))+(C39-'point-point model'!B$21)*COS(RADIANS('point-point model'!B$16))</f>
        <v>7.15164800573515</v>
      </c>
    </row>
    <row r="40" spans="1:5" ht="12.75">
      <c r="A40" s="14"/>
      <c r="B40" s="16">
        <f>IF(C40&lt;=0,'point-point model'!B$20+TAN(RADIANS('point-point model'!B$16))*(C40-'point-point model'!B$21),IF(C40&gt;'point-point model'!B$13,'point-point model'!B$24+TAN(RADIANS('point-point model'!B$26))*(C40-'point-point model'!B$25),'point-point model'!B$22-'point-point model'!B$19*COS(RADIANS('point-point model'!B$16))+SQRT('point-point model'!B$19^2-(C40-'point-point model'!B$23-'point-point model'!B$19*SIN(RADIANS('point-point model'!B$16)))^2)))</f>
        <v>0.20771516627367959</v>
      </c>
      <c r="C40">
        <v>5</v>
      </c>
      <c r="D40" s="16">
        <f>(B40-'point-point model'!B$20)*COS(RADIANS('point-point model'!B$16))-(C40-'point-point model'!B$21)*SIN(RADIANS('point-point model'!B$16))</f>
        <v>-0.4689290297572474</v>
      </c>
      <c r="E40" s="16">
        <f>(B40-'point-point model'!B$20)*SIN(RADIANS('point-point model'!B$16))+(C40-'point-point model'!B$21)*COS(RADIANS('point-point model'!B$16))</f>
        <v>8.138920949238983</v>
      </c>
    </row>
    <row r="41" spans="1:5" ht="12.75">
      <c r="A41" s="14"/>
      <c r="B41" s="16">
        <f>IF(C41&lt;=0,'point-point model'!B$20+TAN(RADIANS('point-point model'!B$16))*(C41-'point-point model'!B$21),IF(C41&gt;'point-point model'!B$13,'point-point model'!B$24+TAN(RADIANS('point-point model'!B$26))*(C41-'point-point model'!B$25),'point-point model'!B$22-'point-point model'!B$19*COS(RADIANS('point-point model'!B$16))+SQRT('point-point model'!B$19^2-(C41-'point-point model'!B$23-'point-point model'!B$19*SIN(RADIANS('point-point model'!B$16)))^2)))</f>
        <v>0.11424623997796601</v>
      </c>
      <c r="C41">
        <v>6</v>
      </c>
      <c r="D41" s="16">
        <f>(B41-'point-point model'!B$20)*COS(RADIANS('point-point model'!B$16))-(C41-'point-point model'!B$21)*SIN(RADIANS('point-point model'!B$16))</f>
        <v>-0.6750003380728844</v>
      </c>
      <c r="E41" s="16">
        <f>(B41-'point-point model'!B$20)*SIN(RADIANS('point-point model'!B$16))+(C41-'point-point model'!B$21)*COS(RADIANS('point-point model'!B$16))</f>
        <v>9.121911822071459</v>
      </c>
    </row>
    <row r="42" spans="1:5" ht="12.75">
      <c r="A42" s="14"/>
      <c r="B42" s="16">
        <f>IF(C42&lt;=0,'point-point model'!B$20+TAN(RADIANS('point-point model'!B$16))*(C42-'point-point model'!B$21),IF(C42&gt;'point-point model'!B$13,'point-point model'!B$24+TAN(RADIANS('point-point model'!B$26))*(C42-'point-point model'!B$25),'point-point model'!B$22-'point-point model'!B$19*COS(RADIANS('point-point model'!B$16))+SQRT('point-point model'!B$19^2-(C42-'point-point model'!B$23-'point-point model'!B$19*SIN(RADIANS('point-point model'!B$16)))^2)))</f>
        <v>-0.032195417991355835</v>
      </c>
      <c r="C42">
        <v>7</v>
      </c>
      <c r="D42" s="16">
        <f>(B42-'point-point model'!B$20)*COS(RADIANS('point-point model'!B$16))-(C42-'point-point model'!B$21)*SIN(RADIANS('point-point model'!B$16))</f>
        <v>-0.9337038616977263</v>
      </c>
      <c r="E42" s="16">
        <f>(B42-'point-point model'!B$20)*SIN(RADIANS('point-point model'!B$16))+(C42-'point-point model'!B$21)*COS(RADIANS('point-point model'!B$16))</f>
        <v>10.09890601143642</v>
      </c>
    </row>
    <row r="43" spans="1:5" ht="12.75">
      <c r="A43" s="14"/>
      <c r="B43" s="16">
        <f>IF(C43&lt;=0,'point-point model'!B$20+TAN(RADIANS('point-point model'!B$16))*(C43-'point-point model'!B$21),IF(C43&gt;'point-point model'!B$13,'point-point model'!B$24+TAN(RADIANS('point-point model'!B$26))*(C43-'point-point model'!B$25),'point-point model'!B$22-'point-point model'!B$19*COS(RADIANS('point-point model'!B$16))+SQRT('point-point model'!B$19^2-(C43-'point-point model'!B$23-'point-point model'!B$19*SIN(RADIANS('point-point model'!B$16)))^2)))</f>
        <v>-0.17863707596067768</v>
      </c>
      <c r="C43">
        <v>8</v>
      </c>
      <c r="D43" s="16">
        <f>(B43-'point-point model'!B$20)*COS(RADIANS('point-point model'!B$16))-(C43-'point-point model'!B$21)*SIN(RADIANS('point-point model'!B$16))</f>
        <v>-1.1924073853225685</v>
      </c>
      <c r="E43" s="16">
        <f>(B43-'point-point model'!B$20)*SIN(RADIANS('point-point model'!B$16))+(C43-'point-point model'!B$21)*COS(RADIANS('point-point model'!B$16))</f>
        <v>11.075900200801378</v>
      </c>
    </row>
    <row r="44" spans="1:5" ht="12.75">
      <c r="A44" s="14"/>
      <c r="B44" s="16">
        <f>IF(C44&lt;=0,'point-point model'!B$20+TAN(RADIANS('point-point model'!B$16))*(C44-'point-point model'!B$21),IF(C44&gt;'point-point model'!B$13,'point-point model'!B$24+TAN(RADIANS('point-point model'!B$26))*(C44-'point-point model'!B$25),'point-point model'!B$22-'point-point model'!B$19*COS(RADIANS('point-point model'!B$16))+SQRT('point-point model'!B$19^2-(C44-'point-point model'!B$23-'point-point model'!B$19*SIN(RADIANS('point-point model'!B$16)))^2)))</f>
        <v>-0.32507873392999953</v>
      </c>
      <c r="C44">
        <v>9</v>
      </c>
      <c r="D44" s="16">
        <f>(B44-'point-point model'!B$20)*COS(RADIANS('point-point model'!B$16))-(C44-'point-point model'!B$21)*SIN(RADIANS('point-point model'!B$16))</f>
        <v>-1.4511109089474103</v>
      </c>
      <c r="E44" s="16">
        <f>(B44-'point-point model'!B$20)*SIN(RADIANS('point-point model'!B$16))+(C44-'point-point model'!B$21)*COS(RADIANS('point-point model'!B$16))</f>
        <v>12.05289439016634</v>
      </c>
    </row>
    <row r="45" spans="1:5" ht="12.75">
      <c r="A45" s="14"/>
      <c r="B45" s="16">
        <f>IF(C45&lt;=0,'point-point model'!B$20+TAN(RADIANS('point-point model'!B$16))*(C45-'point-point model'!B$21),IF(C45&gt;'point-point model'!B$13,'point-point model'!B$24+TAN(RADIANS('point-point model'!B$26))*(C45-'point-point model'!B$25),'point-point model'!B$22-'point-point model'!B$19*COS(RADIANS('point-point model'!B$16))+SQRT('point-point model'!B$19^2-(C45-'point-point model'!B$23-'point-point model'!B$19*SIN(RADIANS('point-point model'!B$16)))^2)))</f>
        <v>-0.4715203918993214</v>
      </c>
      <c r="C45">
        <v>10</v>
      </c>
      <c r="D45" s="16">
        <f>(B45-'point-point model'!B$20)*COS(RADIANS('point-point model'!B$16))-(C45-'point-point model'!B$21)*SIN(RADIANS('point-point model'!B$16))</f>
        <v>-1.7098144325722522</v>
      </c>
      <c r="E45" s="16">
        <f>(B45-'point-point model'!B$20)*SIN(RADIANS('point-point model'!B$16))+(C45-'point-point model'!B$21)*COS(RADIANS('point-point model'!B$16))</f>
        <v>13.029888579531299</v>
      </c>
    </row>
    <row r="46" spans="1:5" ht="12.75">
      <c r="A46" s="14"/>
      <c r="B46" s="16">
        <f>IF(C46&lt;=0,'point-point model'!B$20+TAN(RADIANS('point-point model'!B$16))*(C46-'point-point model'!B$21),IF(C46&gt;'point-point model'!B$13,'point-point model'!B$24+TAN(RADIANS('point-point model'!B$26))*(C46-'point-point model'!B$25),'point-point model'!B$22-'point-point model'!B$19*COS(RADIANS('point-point model'!B$16))+SQRT('point-point model'!B$19^2-(C46-'point-point model'!B$23-'point-point model'!B$19*SIN(RADIANS('point-point model'!B$16)))^2)))</f>
        <v>-0.6179620498686432</v>
      </c>
      <c r="C46">
        <v>11</v>
      </c>
      <c r="D46" s="16">
        <f>(B46-'point-point model'!B$20)*COS(RADIANS('point-point model'!B$16))-(C46-'point-point model'!B$21)*SIN(RADIANS('point-point model'!B$16))</f>
        <v>-1.9685179561970942</v>
      </c>
      <c r="E46" s="16">
        <f>(B46-'point-point model'!B$20)*SIN(RADIANS('point-point model'!B$16))+(C46-'point-point model'!B$21)*COS(RADIANS('point-point model'!B$16))</f>
        <v>14.006882768896258</v>
      </c>
    </row>
    <row r="47" spans="1:5" ht="12.75">
      <c r="A47" s="14"/>
      <c r="B47" s="16">
        <f>IF(C47&lt;=0,'point-point model'!B$20+TAN(RADIANS('point-point model'!B$16))*(C47-'point-point model'!B$21),IF(C47&gt;'point-point model'!B$13,'point-point model'!B$24+TAN(RADIANS('point-point model'!B$26))*(C47-'point-point model'!B$25),'point-point model'!B$22-'point-point model'!B$19*COS(RADIANS('point-point model'!B$16))+SQRT('point-point model'!B$19^2-(C47-'point-point model'!B$23-'point-point model'!B$19*SIN(RADIANS('point-point model'!B$16)))^2)))</f>
        <v>-0.7644037078379651</v>
      </c>
      <c r="C47">
        <v>12</v>
      </c>
      <c r="D47" s="16">
        <f>(B47-'point-point model'!B$20)*COS(RADIANS('point-point model'!B$16))-(C47-'point-point model'!B$21)*SIN(RADIANS('point-point model'!B$16))</f>
        <v>-2.227221479821936</v>
      </c>
      <c r="E47" s="16">
        <f>(B47-'point-point model'!B$20)*SIN(RADIANS('point-point model'!B$16))+(C47-'point-point model'!B$21)*COS(RADIANS('point-point model'!B$16))</f>
        <v>14.983876958261218</v>
      </c>
    </row>
    <row r="49" spans="1:5" ht="12.75">
      <c r="A49" s="19" t="s">
        <v>38</v>
      </c>
      <c r="B49" s="19"/>
      <c r="C49" s="19"/>
      <c r="D49" s="19"/>
      <c r="E49" s="19"/>
    </row>
    <row r="50" spans="2:4" ht="12.75">
      <c r="B50" t="s">
        <v>36</v>
      </c>
      <c r="D50" t="s">
        <v>37</v>
      </c>
    </row>
    <row r="51" spans="2:5" ht="12.75">
      <c r="B51">
        <f>'Yang''s focal plane'!A1/100</f>
        <v>-0.7703</v>
      </c>
      <c r="C51">
        <f>'Yang''s focal plane'!B1/100</f>
        <v>5.163200000000001</v>
      </c>
      <c r="D51">
        <f>'Yang''s focal plane'!C1/100</f>
        <v>-0.7503</v>
      </c>
      <c r="E51">
        <f>'Yang''s focal plane'!D1/100</f>
        <v>5.147200000000001</v>
      </c>
    </row>
    <row r="52" spans="2:5" ht="12.75">
      <c r="B52">
        <f>'Yang''s focal plane'!A2/100</f>
        <v>-1.0583</v>
      </c>
      <c r="C52">
        <f>'Yang''s focal plane'!B2/100</f>
        <v>6.6502</v>
      </c>
      <c r="D52">
        <f>'Yang''s focal plane'!C2/100</f>
        <v>-1.0493000000000001</v>
      </c>
      <c r="E52">
        <f>'Yang''s focal plane'!D2/100</f>
        <v>6.647200000000001</v>
      </c>
    </row>
    <row r="53" spans="2:5" ht="12.75">
      <c r="B53">
        <f>'Yang''s focal plane'!A3/100</f>
        <v>-1.2933000000000001</v>
      </c>
      <c r="C53">
        <f>'Yang''s focal plane'!B3/100</f>
        <v>7.949199999999999</v>
      </c>
      <c r="D53">
        <f>'Yang''s focal plane'!C3/100</f>
        <v>-1.2893000000000001</v>
      </c>
      <c r="E53">
        <f>'Yang''s focal plane'!D3/100</f>
        <v>7.9552</v>
      </c>
    </row>
    <row r="54" spans="2:5" ht="12.75">
      <c r="B54">
        <f>'Yang''s focal plane'!A4/100</f>
        <v>-1.5072999999999999</v>
      </c>
      <c r="C54">
        <f>'Yang''s focal plane'!B4/100</f>
        <v>9.1622</v>
      </c>
      <c r="D54">
        <f>'Yang''s focal plane'!C4/100</f>
        <v>-1.4972999999999999</v>
      </c>
      <c r="E54">
        <f>'Yang''s focal plane'!D4/100</f>
        <v>9.1542</v>
      </c>
    </row>
    <row r="55" spans="2:5" ht="12.75">
      <c r="B55">
        <f>'Yang''s focal plane'!A5/100</f>
        <v>-1.7113</v>
      </c>
      <c r="C55">
        <f>'Yang''s focal plane'!B5/100</f>
        <v>10.324200000000001</v>
      </c>
      <c r="D55">
        <f>'Yang''s focal plane'!C5/100</f>
        <v>-1.7133</v>
      </c>
      <c r="E55">
        <f>'Yang''s focal plane'!D5/100</f>
        <v>10.3442</v>
      </c>
    </row>
    <row r="56" spans="2:5" ht="12.75">
      <c r="B56">
        <f>'Yang''s focal plane'!A6/100</f>
        <v>-1.9073</v>
      </c>
      <c r="C56">
        <f>'Yang''s focal plane'!B6/100</f>
        <v>11.453199999999999</v>
      </c>
      <c r="D56">
        <f>'Yang''s focal plane'!C6/100</f>
        <v>-1.9093</v>
      </c>
      <c r="E56">
        <f>'Yang''s focal plane'!D6/100</f>
        <v>11.4722</v>
      </c>
    </row>
    <row r="57" spans="2:5" ht="12.75">
      <c r="B57">
        <f>'Yang''s focal plane'!A7/100</f>
        <v>-2.0993</v>
      </c>
      <c r="C57">
        <f>'Yang''s focal plane'!B7/100</f>
        <v>12.5572</v>
      </c>
      <c r="D57">
        <f>'Yang''s focal plane'!C7/100</f>
        <v>-2.0983</v>
      </c>
      <c r="E57">
        <f>'Yang''s focal plane'!D7/100</f>
        <v>12.5682</v>
      </c>
    </row>
    <row r="58" spans="2:5" ht="12.75">
      <c r="B58">
        <f>'Yang''s focal plane'!A8/100</f>
        <v>-2.2873</v>
      </c>
      <c r="C58">
        <f>'Yang''s focal plane'!B8/100</f>
        <v>13.644200000000001</v>
      </c>
      <c r="D58">
        <f>'Yang''s focal plane'!C8/100</f>
        <v>-2.3173</v>
      </c>
      <c r="E58">
        <f>'Yang''s focal plane'!D8/100</f>
        <v>13.7592</v>
      </c>
    </row>
    <row r="59" spans="2:5" ht="12.75">
      <c r="B59">
        <f>'Yang''s focal plane'!A9/100</f>
        <v>-2.4722999999999997</v>
      </c>
      <c r="C59">
        <f>'Yang''s focal plane'!B9/100</f>
        <v>14.7172</v>
      </c>
      <c r="D59">
        <f>'Yang''s focal plane'!C9/100</f>
        <v>-2.8043</v>
      </c>
      <c r="E59">
        <f>'Yang''s focal plane'!D9/100</f>
        <v>15.8672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workbookViewId="0" topLeftCell="A1">
      <selection activeCell="B19" sqref="B19"/>
    </sheetView>
  </sheetViews>
  <sheetFormatPr defaultColWidth="9.140625" defaultRowHeight="12.75"/>
  <cols>
    <col min="1" max="1" width="11.8515625" style="0" customWidth="1"/>
  </cols>
  <sheetData>
    <row r="1" ht="12.75">
      <c r="A1" t="s">
        <v>57</v>
      </c>
    </row>
    <row r="2" spans="1:2" ht="12.75">
      <c r="A2" t="s">
        <v>58</v>
      </c>
      <c r="B2" t="s">
        <v>59</v>
      </c>
    </row>
    <row r="3" ht="12.75">
      <c r="B3" t="s">
        <v>60</v>
      </c>
    </row>
    <row r="4" ht="12.75">
      <c r="B4" t="s">
        <v>61</v>
      </c>
    </row>
    <row r="5" ht="12.75">
      <c r="B5" t="s">
        <v>62</v>
      </c>
    </row>
    <row r="6" ht="12.75">
      <c r="B6" t="s">
        <v>63</v>
      </c>
    </row>
    <row r="8" ht="12.75">
      <c r="A8" s="51" t="s">
        <v>99</v>
      </c>
    </row>
    <row r="9" spans="1:10" ht="12.75">
      <c r="A9" s="39" t="s">
        <v>13</v>
      </c>
      <c r="B9" s="40">
        <f>results!B2</f>
        <v>12</v>
      </c>
      <c r="C9" s="40" t="s">
        <v>14</v>
      </c>
      <c r="D9" s="41" t="s">
        <v>53</v>
      </c>
      <c r="E9" s="42"/>
      <c r="F9" s="42"/>
      <c r="G9" s="42"/>
      <c r="H9" s="42"/>
      <c r="I9" s="42"/>
      <c r="J9" s="43"/>
    </row>
    <row r="10" spans="1:10" ht="12.75">
      <c r="A10" s="44" t="s">
        <v>9</v>
      </c>
      <c r="B10" s="45">
        <f>results!B3</f>
        <v>1.5</v>
      </c>
      <c r="C10" s="45" t="s">
        <v>10</v>
      </c>
      <c r="D10" s="46" t="s">
        <v>11</v>
      </c>
      <c r="E10" s="47"/>
      <c r="F10" s="47"/>
      <c r="G10" s="47"/>
      <c r="H10" s="47"/>
      <c r="I10" s="47"/>
      <c r="J10" s="48"/>
    </row>
    <row r="11" spans="1:10" ht="12.75">
      <c r="A11" s="44" t="s">
        <v>65</v>
      </c>
      <c r="B11" s="45">
        <f>results!B4</f>
        <v>-4.7</v>
      </c>
      <c r="C11" s="45" t="s">
        <v>66</v>
      </c>
      <c r="D11" s="46" t="s">
        <v>67</v>
      </c>
      <c r="E11" s="47"/>
      <c r="F11" s="47"/>
      <c r="G11" s="47"/>
      <c r="H11" s="47"/>
      <c r="I11" s="47"/>
      <c r="J11" s="48"/>
    </row>
    <row r="12" spans="1:10" ht="12.75">
      <c r="A12" s="44" t="s">
        <v>43</v>
      </c>
      <c r="B12" s="49">
        <f>results!B5</f>
        <v>0.41</v>
      </c>
      <c r="C12" s="45" t="s">
        <v>0</v>
      </c>
      <c r="D12" s="46" t="s">
        <v>44</v>
      </c>
      <c r="E12" s="47"/>
      <c r="F12" s="47"/>
      <c r="G12" s="47"/>
      <c r="H12" s="47"/>
      <c r="I12" s="47"/>
      <c r="J12" s="48"/>
    </row>
    <row r="13" spans="1:10" ht="12.75">
      <c r="A13" s="44" t="s">
        <v>42</v>
      </c>
      <c r="B13" s="49">
        <f>results!B6</f>
        <v>6</v>
      </c>
      <c r="C13" s="45" t="s">
        <v>0</v>
      </c>
      <c r="D13" s="46" t="s">
        <v>45</v>
      </c>
      <c r="E13" s="47"/>
      <c r="F13" s="47"/>
      <c r="G13" s="47"/>
      <c r="H13" s="47"/>
      <c r="I13" s="47"/>
      <c r="J13" s="48"/>
    </row>
    <row r="14" spans="1:10" ht="12.75">
      <c r="A14" s="44" t="s">
        <v>18</v>
      </c>
      <c r="B14" s="49">
        <f>results!B7</f>
        <v>3.16</v>
      </c>
      <c r="C14" s="45" t="s">
        <v>0</v>
      </c>
      <c r="D14" s="46" t="s">
        <v>19</v>
      </c>
      <c r="E14" s="47"/>
      <c r="F14" s="47"/>
      <c r="G14" s="47"/>
      <c r="H14" s="47"/>
      <c r="I14" s="47"/>
      <c r="J14" s="48"/>
    </row>
    <row r="15" spans="1:10" ht="12.75">
      <c r="A15" s="44" t="s">
        <v>20</v>
      </c>
      <c r="B15" s="49">
        <f>results!B8</f>
        <v>0.11</v>
      </c>
      <c r="C15" s="45" t="s">
        <v>0</v>
      </c>
      <c r="D15" s="46" t="s">
        <v>21</v>
      </c>
      <c r="E15" s="47"/>
      <c r="F15" s="47"/>
      <c r="G15" s="47"/>
      <c r="H15" s="47"/>
      <c r="I15" s="47"/>
      <c r="J15" s="48"/>
    </row>
    <row r="16" spans="1:10" ht="12.75">
      <c r="A16" s="44" t="s">
        <v>22</v>
      </c>
      <c r="B16" s="49">
        <f>results!B9</f>
        <v>6.5</v>
      </c>
      <c r="C16" s="45" t="s">
        <v>1</v>
      </c>
      <c r="D16" s="46" t="s">
        <v>55</v>
      </c>
      <c r="E16" s="47"/>
      <c r="F16" s="47"/>
      <c r="G16" s="47"/>
      <c r="H16" s="47"/>
      <c r="I16" s="47"/>
      <c r="J16" s="48"/>
    </row>
    <row r="17" spans="1:10" ht="12.75">
      <c r="A17" s="44" t="s">
        <v>71</v>
      </c>
      <c r="B17" s="49">
        <f>results!B10</f>
        <v>0.7</v>
      </c>
      <c r="C17" s="45" t="s">
        <v>0</v>
      </c>
      <c r="D17" s="46" t="s">
        <v>69</v>
      </c>
      <c r="E17" s="47"/>
      <c r="F17" s="47"/>
      <c r="G17" s="47"/>
      <c r="H17" s="47"/>
      <c r="I17" s="47"/>
      <c r="J17" s="48"/>
    </row>
    <row r="18" spans="1:10" ht="12.75">
      <c r="A18" s="44" t="s">
        <v>72</v>
      </c>
      <c r="B18" s="49">
        <f>results!B11</f>
        <v>0.4</v>
      </c>
      <c r="C18" s="45" t="s">
        <v>0</v>
      </c>
      <c r="D18" s="46" t="s">
        <v>70</v>
      </c>
      <c r="E18" s="47"/>
      <c r="F18" s="47"/>
      <c r="G18" s="47"/>
      <c r="H18" s="47"/>
      <c r="I18" s="47"/>
      <c r="J18" s="48"/>
    </row>
    <row r="19" spans="1:10" ht="12.75">
      <c r="A19" s="28" t="s">
        <v>2</v>
      </c>
      <c r="B19" s="29">
        <f>B9/(0.3*B10)</f>
        <v>26.666666666666668</v>
      </c>
      <c r="C19" s="30" t="s">
        <v>0</v>
      </c>
      <c r="D19" s="12" t="s">
        <v>12</v>
      </c>
      <c r="E19" s="12"/>
      <c r="F19" s="12"/>
      <c r="G19" s="12"/>
      <c r="H19" s="12"/>
      <c r="I19" s="12"/>
      <c r="J19" s="27"/>
    </row>
    <row r="20" spans="1:10" ht="12.75">
      <c r="A20" s="4" t="s">
        <v>3</v>
      </c>
      <c r="B20" s="9">
        <f>B15-B14*SIN(RADIANS(B16))</f>
        <v>-0.24772215550658527</v>
      </c>
      <c r="C20" s="12" t="s">
        <v>0</v>
      </c>
      <c r="D20" s="12" t="s">
        <v>15</v>
      </c>
      <c r="E20" s="5"/>
      <c r="F20" s="5"/>
      <c r="G20" s="5"/>
      <c r="H20" s="5"/>
      <c r="I20" s="5"/>
      <c r="J20" s="6"/>
    </row>
    <row r="21" spans="1:10" ht="12.75">
      <c r="A21" s="4" t="s">
        <v>4</v>
      </c>
      <c r="B21" s="9">
        <f>-B14*COS(RADIANS(B16))</f>
        <v>-3.1396870639380166</v>
      </c>
      <c r="C21" s="12" t="s">
        <v>0</v>
      </c>
      <c r="D21" s="12" t="s">
        <v>16</v>
      </c>
      <c r="E21" s="5"/>
      <c r="F21" s="5"/>
      <c r="G21" s="5"/>
      <c r="H21" s="5"/>
      <c r="I21" s="5"/>
      <c r="J21" s="6"/>
    </row>
    <row r="22" spans="1:10" ht="12.75">
      <c r="A22" s="4" t="s">
        <v>46</v>
      </c>
      <c r="B22" s="9">
        <f>B20+TAN(RADIANS(B16))*(B23-B21)</f>
        <v>0.10999999999999999</v>
      </c>
      <c r="C22" s="12" t="s">
        <v>0</v>
      </c>
      <c r="D22" s="12" t="s">
        <v>50</v>
      </c>
      <c r="E22" s="5"/>
      <c r="F22" s="5"/>
      <c r="G22" s="5"/>
      <c r="H22" s="5"/>
      <c r="I22" s="5"/>
      <c r="J22" s="6"/>
    </row>
    <row r="23" spans="1:10" ht="12.75">
      <c r="A23" s="4" t="s">
        <v>47</v>
      </c>
      <c r="B23" s="9">
        <v>0</v>
      </c>
      <c r="C23" s="12" t="s">
        <v>0</v>
      </c>
      <c r="D23" s="12" t="s">
        <v>51</v>
      </c>
      <c r="E23" s="5"/>
      <c r="F23" s="5"/>
      <c r="G23" s="5"/>
      <c r="H23" s="5"/>
      <c r="I23" s="5"/>
      <c r="J23" s="6"/>
    </row>
    <row r="24" spans="1:10" ht="12.75">
      <c r="A24" s="4" t="s">
        <v>48</v>
      </c>
      <c r="B24" s="9">
        <f>B22-B19*COS(RADIANS(B16))+SQRT(B19^2-(B25-B23-B19*SIN(RADIANS(B16)))^2)</f>
        <v>0.11424623997796601</v>
      </c>
      <c r="C24" s="12" t="s">
        <v>0</v>
      </c>
      <c r="D24" s="12" t="s">
        <v>54</v>
      </c>
      <c r="E24" s="5"/>
      <c r="F24" s="5"/>
      <c r="G24" s="5"/>
      <c r="H24" s="5"/>
      <c r="I24" s="5"/>
      <c r="J24" s="6"/>
    </row>
    <row r="25" spans="1:10" ht="12.75">
      <c r="A25" s="4" t="s">
        <v>49</v>
      </c>
      <c r="B25" s="9">
        <f>B13</f>
        <v>6</v>
      </c>
      <c r="C25" s="12" t="s">
        <v>0</v>
      </c>
      <c r="D25" s="12" t="s">
        <v>52</v>
      </c>
      <c r="E25" s="5"/>
      <c r="F25" s="5"/>
      <c r="G25" s="5"/>
      <c r="H25" s="5"/>
      <c r="I25" s="5"/>
      <c r="J25" s="6"/>
    </row>
    <row r="26" spans="1:10" ht="12.75">
      <c r="A26" s="4" t="s">
        <v>5</v>
      </c>
      <c r="B26" s="9">
        <f>DEGREES(ATAN(SQRT(B19^2-(B20-B21*TAN(RADIANS(B16))-B19*COS(RADIANS(B16)))^2)/(B20-B21*TAN(RADIANS(B16))-B19*COS(RADIANS(B16)))))</f>
        <v>-8.331270610192398</v>
      </c>
      <c r="C26" s="5" t="s">
        <v>1</v>
      </c>
      <c r="D26" s="5" t="s">
        <v>56</v>
      </c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 t="s">
        <v>6</v>
      </c>
      <c r="B28" s="10">
        <v>6.2</v>
      </c>
      <c r="C28" s="10">
        <v>6.3</v>
      </c>
      <c r="D28" s="10">
        <v>6.1</v>
      </c>
      <c r="E28" s="10">
        <v>6.4</v>
      </c>
      <c r="F28" s="10">
        <v>6</v>
      </c>
      <c r="G28" s="10">
        <v>6.5</v>
      </c>
      <c r="H28" s="10">
        <v>5.9</v>
      </c>
      <c r="I28" s="10">
        <v>6.6</v>
      </c>
      <c r="J28" s="11">
        <v>5.8</v>
      </c>
    </row>
    <row r="29" spans="1:10" ht="12.75">
      <c r="A29" s="4" t="s">
        <v>17</v>
      </c>
      <c r="B29" s="5">
        <f>$B$19*SIN(RADIANS(B28))+SQRT($B$19^2-($B$20-$B$21*TAN(RADIANS(B28))-$B$19*COS(RADIANS(B28)))^2)</f>
        <v>6.518045955977367</v>
      </c>
      <c r="C29" s="5">
        <f aca="true" t="shared" si="0" ref="C29:J29">$B$19*SIN(RADIANS(C28))+SQRT($B$19^2-($B$20-$B$21*TAN(RADIANS(C28))-$B$19*COS(RADIANS(C28)))^2)</f>
        <v>6.640557634809429</v>
      </c>
      <c r="D29" s="5">
        <f t="shared" si="0"/>
        <v>6.394476355471546</v>
      </c>
      <c r="E29" s="5">
        <f t="shared" si="0"/>
        <v>6.762074018401248</v>
      </c>
      <c r="F29" s="5">
        <f t="shared" si="0"/>
        <v>6.269779714895941</v>
      </c>
      <c r="G29" s="5">
        <f t="shared" si="0"/>
        <v>6.8826520476191595</v>
      </c>
      <c r="H29" s="5">
        <f t="shared" si="0"/>
        <v>6.14387946528697</v>
      </c>
      <c r="I29" s="5">
        <f t="shared" si="0"/>
        <v>7.002343660423895</v>
      </c>
      <c r="J29" s="6">
        <f t="shared" si="0"/>
        <v>6.016690439750425</v>
      </c>
    </row>
    <row r="30" spans="1:10" ht="12.75">
      <c r="A30" s="4" t="s">
        <v>7</v>
      </c>
      <c r="B30" s="5">
        <f>DEGREES(ATAN(SQRT($B$19^2-($B$20-$B$21*TAN(RADIANS(B28))-$B$19*COS(RADIANS(B28)))^2)/($B$20-$B$21*TAN(RADIANS(B28))-$B$19*COS(RADIANS(B28)))))</f>
        <v>-7.841165743889144</v>
      </c>
      <c r="C30" s="5">
        <f aca="true" t="shared" si="1" ref="C30:J30">DEGREES(ATAN(SQRT($B$19^2-($B$20-$B$21*TAN(RADIANS(C28))-$B$19*COS(RADIANS(C28)))^2)/($B$20-$B$21*TAN(RADIANS(C28))-$B$19*COS(RADIANS(C28)))))</f>
        <v>-8.006566990133157</v>
      </c>
      <c r="D30" s="5">
        <f t="shared" si="1"/>
        <v>-7.673555660610959</v>
      </c>
      <c r="E30" s="5">
        <f t="shared" si="1"/>
        <v>-8.16989435893987</v>
      </c>
      <c r="F30" s="5">
        <f t="shared" si="1"/>
        <v>-7.503587850133475</v>
      </c>
      <c r="G30" s="5">
        <f t="shared" si="1"/>
        <v>-8.331270610192398</v>
      </c>
      <c r="H30" s="5">
        <f t="shared" si="1"/>
        <v>-7.331097434098359</v>
      </c>
      <c r="I30" s="5">
        <f t="shared" si="1"/>
        <v>-8.490807769284928</v>
      </c>
      <c r="J30" s="6">
        <f t="shared" si="1"/>
        <v>-7.15590108308407</v>
      </c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 t="s">
        <v>8</v>
      </c>
      <c r="C32" s="5">
        <f>SIN(RADIANS($B$26))^2*(C29-$B29)/RADIANS(C30-$B30)</f>
        <v>-0.8909956135312914</v>
      </c>
      <c r="D32" s="5">
        <f aca="true" t="shared" si="2" ref="D32:J32">SIN(RADIANS($B$26))^2*(D29-$B29)/RADIANS(D30-$B30)</f>
        <v>-0.8868462888446892</v>
      </c>
      <c r="E32" s="5">
        <f t="shared" si="2"/>
        <v>-0.892974616348709</v>
      </c>
      <c r="F32" s="5">
        <f t="shared" si="2"/>
        <v>-0.8846684144729674</v>
      </c>
      <c r="G32" s="5">
        <f t="shared" si="2"/>
        <v>-0.8948943329764546</v>
      </c>
      <c r="H32" s="5">
        <f t="shared" si="2"/>
        <v>-0.882416054528325</v>
      </c>
      <c r="I32" s="5">
        <f t="shared" si="2"/>
        <v>-0.8967577756099815</v>
      </c>
      <c r="J32" s="6">
        <f t="shared" si="2"/>
        <v>-0.8800843821595814</v>
      </c>
    </row>
    <row r="33" spans="1:10" ht="12.75">
      <c r="A33" s="13" t="s">
        <v>23</v>
      </c>
      <c r="B33" s="7"/>
      <c r="C33" s="7">
        <f aca="true" t="shared" si="3" ref="C33:J33">B29+C32/TAN(RADIANS(B30))</f>
        <v>12.987897919220448</v>
      </c>
      <c r="D33" s="7">
        <f t="shared" si="3"/>
        <v>12.945553292380646</v>
      </c>
      <c r="E33" s="7">
        <f t="shared" si="3"/>
        <v>13.022095438470885</v>
      </c>
      <c r="F33" s="7">
        <f t="shared" si="3"/>
        <v>12.924181361728523</v>
      </c>
      <c r="G33" s="7">
        <f t="shared" si="3"/>
        <v>13.063889405449086</v>
      </c>
      <c r="H33" s="7">
        <f t="shared" si="3"/>
        <v>12.90836950236952</v>
      </c>
      <c r="I33" s="7">
        <f t="shared" si="3"/>
        <v>13.114150341091888</v>
      </c>
      <c r="J33" s="8">
        <f t="shared" si="3"/>
        <v>12.897595475498303</v>
      </c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6" ht="12.75">
      <c r="A36" s="19" t="s">
        <v>29</v>
      </c>
    </row>
    <row r="39" spans="1:23" ht="12.75">
      <c r="A39" s="2" t="s">
        <v>13</v>
      </c>
      <c r="B39" s="3">
        <v>0.3</v>
      </c>
      <c r="C39" s="3" t="s">
        <v>14</v>
      </c>
      <c r="D39" s="3">
        <v>0.5</v>
      </c>
      <c r="E39" s="3" t="s">
        <v>14</v>
      </c>
      <c r="F39" s="3">
        <v>1</v>
      </c>
      <c r="G39" s="3" t="s">
        <v>14</v>
      </c>
      <c r="H39" s="3">
        <v>2</v>
      </c>
      <c r="I39" s="3" t="s">
        <v>14</v>
      </c>
      <c r="J39" s="3">
        <v>3</v>
      </c>
      <c r="K39" s="3" t="s">
        <v>14</v>
      </c>
      <c r="L39" s="3">
        <v>4</v>
      </c>
      <c r="M39" s="3" t="s">
        <v>14</v>
      </c>
      <c r="N39" s="3">
        <v>5</v>
      </c>
      <c r="O39" s="3" t="s">
        <v>14</v>
      </c>
      <c r="P39" s="3">
        <v>6</v>
      </c>
      <c r="Q39" s="3" t="s">
        <v>14</v>
      </c>
      <c r="R39" s="3">
        <v>7</v>
      </c>
      <c r="S39" s="3" t="s">
        <v>14</v>
      </c>
      <c r="T39" s="3">
        <v>8</v>
      </c>
      <c r="U39" s="3" t="s">
        <v>14</v>
      </c>
      <c r="V39" s="3">
        <v>9</v>
      </c>
      <c r="W39" s="3" t="s">
        <v>14</v>
      </c>
    </row>
    <row r="40" spans="1:23" ht="12.75">
      <c r="A40" s="4" t="s">
        <v>2</v>
      </c>
      <c r="B40" s="9">
        <f>B39/(0.3*$B$10)</f>
        <v>0.6666666666666667</v>
      </c>
      <c r="C40" s="5" t="s">
        <v>0</v>
      </c>
      <c r="D40" s="9">
        <f>D39/(0.3*$B$10)</f>
        <v>1.1111111111111112</v>
      </c>
      <c r="E40" s="5" t="s">
        <v>0</v>
      </c>
      <c r="F40" s="9">
        <f>F39/(0.3*$B$10)</f>
        <v>2.2222222222222223</v>
      </c>
      <c r="G40" s="5" t="s">
        <v>0</v>
      </c>
      <c r="H40" s="9">
        <f>H39/(0.3*$B$10)</f>
        <v>4.444444444444445</v>
      </c>
      <c r="I40" s="5" t="s">
        <v>0</v>
      </c>
      <c r="J40" s="9">
        <f>J39/(0.3*$B$10)</f>
        <v>6.666666666666667</v>
      </c>
      <c r="K40" s="5" t="s">
        <v>0</v>
      </c>
      <c r="L40" s="9">
        <f>L39/(0.3*$B$10)</f>
        <v>8.88888888888889</v>
      </c>
      <c r="M40" s="5" t="s">
        <v>0</v>
      </c>
      <c r="N40" s="9">
        <f>N39/(0.3*$B$10)</f>
        <v>11.111111111111112</v>
      </c>
      <c r="O40" s="5" t="s">
        <v>0</v>
      </c>
      <c r="P40" s="9">
        <f>P39/(0.3*$B$10)</f>
        <v>13.333333333333334</v>
      </c>
      <c r="Q40" s="5" t="s">
        <v>0</v>
      </c>
      <c r="R40" s="9">
        <f>R39/(0.3*$B$10)</f>
        <v>15.555555555555557</v>
      </c>
      <c r="S40" s="5" t="s">
        <v>0</v>
      </c>
      <c r="T40" s="9">
        <f>T39/(0.3*$B$10)</f>
        <v>17.77777777777778</v>
      </c>
      <c r="U40" s="5" t="s">
        <v>0</v>
      </c>
      <c r="V40" s="9">
        <f>V39/(0.3*$B$10)</f>
        <v>20.000000000000004</v>
      </c>
      <c r="W40" s="5" t="s">
        <v>0</v>
      </c>
    </row>
    <row r="41" spans="1:23" ht="12.75">
      <c r="A41" s="4" t="s">
        <v>5</v>
      </c>
      <c r="B41" s="9">
        <f>DEGREES(ATAN(SQRT(B40^2-($B20-$B21*TAN(RADIANS($B16))-B40*COS(RADIANS($B16)))^2)/($B20-$B21*TAN(RADIANS($B16))-B40*COS(RADIANS($B16)))))</f>
        <v>-34.04768866207281</v>
      </c>
      <c r="C41" s="5" t="s">
        <v>1</v>
      </c>
      <c r="D41" s="9">
        <f>DEGREES(ATAN(SQRT(D40^2-($B20-$B21*TAN(RADIANS($B16))-D40*COS(RADIANS($B16)))^2)/($B20-$B21*TAN(RADIANS($B16))-D40*COS(RADIANS($B16)))))</f>
        <v>-26.54651113580175</v>
      </c>
      <c r="E41" s="5" t="s">
        <v>1</v>
      </c>
      <c r="F41" s="9">
        <f>DEGREES(ATAN(SQRT(F40^2-($B20-$B21*TAN(RADIANS($B16))-F40*COS(RADIANS($B16)))^2)/($B20-$B21*TAN(RADIANS($B16))-F40*COS(RADIANS($B16)))))</f>
        <v>-19.252982773426282</v>
      </c>
      <c r="G41" s="5" t="s">
        <v>1</v>
      </c>
      <c r="H41" s="9">
        <f>DEGREES(ATAN(SQRT(H40^2-($B20-$B21*TAN(RADIANS($B16))-H40*COS(RADIANS($B16)))^2)/($B20-$B21*TAN(RADIANS($B16))-H40*COS(RADIANS($B16)))))</f>
        <v>-14.344903869335791</v>
      </c>
      <c r="I41" s="5" t="s">
        <v>1</v>
      </c>
      <c r="J41" s="9">
        <f>DEGREES(ATAN(SQRT(J40^2-($B20-$B21*TAN(RADIANS($B16))-J40*COS(RADIANS($B16)))^2)/($B20-$B21*TAN(RADIANS($B16))-J40*COS(RADIANS($B16)))))</f>
        <v>-12.29292950416152</v>
      </c>
      <c r="K41" s="5" t="s">
        <v>1</v>
      </c>
      <c r="L41" s="9">
        <f>DEGREES(ATAN(SQRT(L40^2-($B20-$B21*TAN(RADIANS($B16))-L40*COS(RADIANS($B16)))^2)/($B20-$B21*TAN(RADIANS($B16))-L40*COS(RADIANS($B16)))))</f>
        <v>-11.128477103206677</v>
      </c>
      <c r="M41" s="5" t="s">
        <v>1</v>
      </c>
      <c r="N41" s="9">
        <f>DEGREES(ATAN(SQRT(N40^2-($B20-$B21*TAN(RADIANS($B16))-N40*COS(RADIANS($B16)))^2)/($B20-$B21*TAN(RADIANS($B16))-N40*COS(RADIANS($B16)))))</f>
        <v>-10.368089981830872</v>
      </c>
      <c r="O41" s="5" t="s">
        <v>1</v>
      </c>
      <c r="P41" s="9">
        <f>DEGREES(ATAN(SQRT(P40^2-($B20-$B21*TAN(RADIANS($B16))-P40*COS(RADIANS($B16)))^2)/($B20-$B21*TAN(RADIANS($B16))-P40*COS(RADIANS($B16)))))</f>
        <v>-9.828921400151842</v>
      </c>
      <c r="Q41" s="5" t="s">
        <v>1</v>
      </c>
      <c r="R41" s="9">
        <f>DEGREES(ATAN(SQRT(R40^2-($B20-$B21*TAN(RADIANS($B16))-R40*COS(RADIANS($B16)))^2)/($B20-$B21*TAN(RADIANS($B16))-R40*COS(RADIANS($B16)))))</f>
        <v>-9.425131623586159</v>
      </c>
      <c r="S41" s="5" t="s">
        <v>1</v>
      </c>
      <c r="T41" s="9">
        <f>DEGREES(ATAN(SQRT(T40^2-($B20-$B21*TAN(RADIANS($B16))-T40*COS(RADIANS($B16)))^2)/($B20-$B21*TAN(RADIANS($B16))-T40*COS(RADIANS($B16)))))</f>
        <v>-9.110663019399768</v>
      </c>
      <c r="U41" s="5" t="s">
        <v>1</v>
      </c>
      <c r="V41" s="9">
        <f>DEGREES(ATAN(SQRT(V40^2-($B20-$B21*TAN(RADIANS($B16))-V40*COS(RADIANS($B16)))^2)/($B20-$B21*TAN(RADIANS($B16))-V40*COS(RADIANS($B16)))))</f>
        <v>-8.858429107241932</v>
      </c>
      <c r="W41" s="5" t="s">
        <v>1</v>
      </c>
    </row>
    <row r="42" spans="1:23" ht="12.75">
      <c r="A42" s="4" t="s">
        <v>79</v>
      </c>
      <c r="B42" s="9">
        <f>$B$20+$B$17*(1-B39/(B39-$B$18*$B$11*$B$17*300000000/1000000000))*SIN(RADIANS($B$16))</f>
        <v>-0.20269503956401375</v>
      </c>
      <c r="C42" s="12" t="s">
        <v>0</v>
      </c>
      <c r="D42" s="9">
        <f>$B$20+$B$17*(1-D39/(D39-$B$18*$B$11*$B$17*300000000/1000000000))*SIN(RADIANS($B$16))</f>
        <v>-0.21275921389181246</v>
      </c>
      <c r="E42" s="12" t="s">
        <v>0</v>
      </c>
      <c r="F42" s="9">
        <f>$B$20+$B$17*(1-F39/(F39-$B$18*$B$11*$B$17*300000000/1000000000))*SIN(RADIANS($B$16))</f>
        <v>-0.2252925310751982</v>
      </c>
      <c r="G42" s="12" t="s">
        <v>0</v>
      </c>
      <c r="H42" s="9">
        <f>$B$20+$B$17*(1-H39/(H39-$B$18*$B$11*$B$17*300000000/1000000000))*SIN(RADIANS($B$16))</f>
        <v>-0.23465850085613482</v>
      </c>
      <c r="I42" s="12" t="s">
        <v>0</v>
      </c>
      <c r="J42" s="9">
        <f>$B$20+$B$17*(1-J39/(J39-$B$18*$B$11*$B$17*300000000/1000000000))*SIN(RADIANS($B$16))</f>
        <v>-0.23850663760953722</v>
      </c>
      <c r="K42" s="12" t="s">
        <v>0</v>
      </c>
      <c r="L42" s="9">
        <f>$B$20+$B$17*(1-L39/(L39-$B$18*$B$11*$B$17*300000000/1000000000))*SIN(RADIANS($B$16))</f>
        <v>-0.24060355166638805</v>
      </c>
      <c r="M42" s="12" t="s">
        <v>0</v>
      </c>
      <c r="N42" s="9">
        <f>$B$20+$B$17*(1-N39/(N39-$B$18*$B$11*$B$17*300000000/1000000000))*SIN(RADIANS($B$16))</f>
        <v>-0.2419230822959197</v>
      </c>
      <c r="O42" s="12" t="s">
        <v>0</v>
      </c>
      <c r="P42" s="9">
        <f>$B$20+$B$17*(1-P39/(P39-$B$18*$B$11*$B$17*300000000/1000000000))*SIN(RADIANS($B$16))</f>
        <v>-0.2428299242942098</v>
      </c>
      <c r="Q42" s="12" t="s">
        <v>0</v>
      </c>
      <c r="R42" s="9">
        <f>$B$20+$B$17*(1-R39/(R39-$B$18*$B$11*$B$17*300000000/1000000000))*SIN(RADIANS($B$16))</f>
        <v>-0.2434915015123057</v>
      </c>
      <c r="S42" s="12" t="s">
        <v>0</v>
      </c>
      <c r="T42" s="9">
        <f>$B$20+$B$17*(1-T39/(T39-$B$18*$B$11*$B$17*300000000/1000000000))*SIN(RADIANS($B$16))</f>
        <v>-0.2439954627733577</v>
      </c>
      <c r="U42" s="12" t="s">
        <v>0</v>
      </c>
      <c r="V42" s="9">
        <f>$B$20+$B$17*(1-V39/(V39-$B$18*$B$11*$B$17*300000000/1000000000))*SIN(RADIANS($B$16))</f>
        <v>-0.24439213888495429</v>
      </c>
      <c r="W42" s="12" t="s">
        <v>0</v>
      </c>
    </row>
    <row r="43" spans="1:23" ht="12.75">
      <c r="A43" s="4" t="s">
        <v>78</v>
      </c>
      <c r="B43" s="9">
        <f>$B$21+$B$17*(1-B39/(B39-$B$18*$B$11*$B$17*300000000/1000000000))*COS(RADIANS($B$16))</f>
        <v>-2.744489139305343</v>
      </c>
      <c r="C43" s="12" t="s">
        <v>0</v>
      </c>
      <c r="D43" s="9">
        <f>$B$21+$B$17*(1-D39/(D39-$B$18*$B$11*$B$17*300000000/1000000000))*COS(RADIANS($B$16))</f>
        <v>-2.8328212637203345</v>
      </c>
      <c r="E43" s="12" t="s">
        <v>0</v>
      </c>
      <c r="F43" s="9">
        <f>$B$21+$B$17*(1-F39/(F39-$B$18*$B$11*$B$17*300000000/1000000000))*COS(RADIANS($B$16))</f>
        <v>-2.942824776846834</v>
      </c>
      <c r="G43" s="12" t="s">
        <v>0</v>
      </c>
      <c r="H43" s="9">
        <f>$B$21+$B$17*(1-H39/(H39-$B$18*$B$11*$B$17*300000000/1000000000))*COS(RADIANS($B$16))</f>
        <v>-3.025028838601963</v>
      </c>
      <c r="I43" s="12" t="s">
        <v>0</v>
      </c>
      <c r="J43" s="9">
        <f>$B$21+$B$17*(1-J39/(J39-$B$18*$B$11*$B$17*300000000/1000000000))*COS(RADIANS($B$16))</f>
        <v>-3.0588035014204067</v>
      </c>
      <c r="K43" s="12" t="s">
        <v>0</v>
      </c>
      <c r="L43" s="9">
        <f>$B$21+$B$17*(1-L39/(L39-$B$18*$B$11*$B$17*300000000/1000000000))*COS(RADIANS($B$16))</f>
        <v>-3.0772078798944236</v>
      </c>
      <c r="M43" s="12" t="s">
        <v>0</v>
      </c>
      <c r="N43" s="9">
        <f>$B$21+$B$17*(1-N39/(N39-$B$18*$B$11*$B$17*300000000/1000000000))*COS(RADIANS($B$16))</f>
        <v>-3.0887892515937625</v>
      </c>
      <c r="O43" s="12" t="s">
        <v>0</v>
      </c>
      <c r="P43" s="9">
        <f>$B$21+$B$17*(1-P39/(P39-$B$18*$B$11*$B$17*300000000/1000000000))*COS(RADIANS($B$16))</f>
        <v>-3.0967485016632335</v>
      </c>
      <c r="Q43" s="12" t="s">
        <v>0</v>
      </c>
      <c r="R43" s="9">
        <f>$B$21+$B$17*(1-R39/(R39-$B$18*$B$11*$B$17*300000000/1000000000))*COS(RADIANS($B$16))</f>
        <v>-3.1025550903843326</v>
      </c>
      <c r="S43" s="12" t="s">
        <v>0</v>
      </c>
      <c r="T43" s="9">
        <f>$B$21+$B$17*(1-T39/(T39-$B$18*$B$11*$B$17*300000000/1000000000))*COS(RADIANS($B$16))</f>
        <v>-3.1069783016048125</v>
      </c>
      <c r="U43" s="12" t="s">
        <v>0</v>
      </c>
      <c r="V43" s="9">
        <f>$B$21+$B$17*(1-V39/(V39-$B$18*$B$11*$B$17*300000000/1000000000))*COS(RADIANS($B$16))</f>
        <v>-3.1104598831534567</v>
      </c>
      <c r="W43" s="12" t="s">
        <v>0</v>
      </c>
    </row>
    <row r="44" spans="1:23" ht="12.75">
      <c r="A44" s="4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2.75">
      <c r="A45" s="4" t="s">
        <v>6</v>
      </c>
      <c r="B45" s="17">
        <v>6.5</v>
      </c>
      <c r="C45" s="17">
        <f>B45+0.001</f>
        <v>6.501</v>
      </c>
      <c r="D45" s="17">
        <v>6.5</v>
      </c>
      <c r="E45" s="17">
        <f>D45+0.001</f>
        <v>6.501</v>
      </c>
      <c r="F45" s="17">
        <v>6.5</v>
      </c>
      <c r="G45" s="17">
        <f>F45+0.001</f>
        <v>6.501</v>
      </c>
      <c r="H45" s="17">
        <v>6.5</v>
      </c>
      <c r="I45" s="17">
        <f>H45+0.001</f>
        <v>6.501</v>
      </c>
      <c r="J45" s="17">
        <v>6.5</v>
      </c>
      <c r="K45" s="17">
        <f>J45+0.001</f>
        <v>6.501</v>
      </c>
      <c r="L45" s="17">
        <v>6.5</v>
      </c>
      <c r="M45" s="17">
        <f>L45+0.001</f>
        <v>6.501</v>
      </c>
      <c r="N45" s="17">
        <v>6.5</v>
      </c>
      <c r="O45" s="17">
        <f>N45+0.001</f>
        <v>6.501</v>
      </c>
      <c r="P45" s="17">
        <v>6.5</v>
      </c>
      <c r="Q45" s="17">
        <f>P45+0.001</f>
        <v>6.501</v>
      </c>
      <c r="R45" s="17">
        <v>6.5</v>
      </c>
      <c r="S45" s="17">
        <f>R45+0.001</f>
        <v>6.501</v>
      </c>
      <c r="T45" s="17">
        <v>6.5</v>
      </c>
      <c r="U45" s="17">
        <f>T45+0.001</f>
        <v>6.501</v>
      </c>
      <c r="V45" s="17">
        <v>6.5</v>
      </c>
      <c r="W45" s="17">
        <f>V45+0.001</f>
        <v>6.501</v>
      </c>
    </row>
    <row r="46" spans="1:23" ht="12.75">
      <c r="A46" s="4" t="s">
        <v>17</v>
      </c>
      <c r="B46" s="5">
        <f>B40*SIN(RADIANS(B45))+SQRT(B40^2-(B42-B43*TAN(RADIANS(B45))-B40*COS(RADIANS(B45)))^2)</f>
        <v>0.448723967648968</v>
      </c>
      <c r="C46" s="5">
        <f>B40*SIN(RADIANS(C45))+SQRT(B40^2-(B42-B43*TAN(RADIANS(C45))-B40*COS(RADIANS(C45)))^2)</f>
        <v>0.44880927544470783</v>
      </c>
      <c r="D46" s="5">
        <f>D40*SIN(RADIANS(D45))+SQRT(D40^2-(D42-D43*TAN(RADIANS(D45))-D40*COS(RADIANS(D45)))^2)</f>
        <v>0.6223637364982518</v>
      </c>
      <c r="E46" s="5">
        <f>D40*SIN(RADIANS(E45))+SQRT(D40^2-(D42-D43*TAN(RADIANS(E45))-D40*COS(RADIANS(E45)))^2)</f>
        <v>0.6224876341283194</v>
      </c>
      <c r="F46" s="5">
        <f>F40*SIN(RADIANS(F45))+SQRT(F40^2-(F42-F43*TAN(RADIANS(F45))-F40*COS(RADIANS(F45)))^2)</f>
        <v>0.9843177935982591</v>
      </c>
      <c r="G46" s="5">
        <f>F40*SIN(RADIANS(G45))+SQRT(F40^2-(F42-F43*TAN(RADIANS(G45))-F40*COS(RADIANS(G45)))^2)</f>
        <v>0.9845178437437219</v>
      </c>
      <c r="H46" s="5">
        <f>H40*SIN(RADIANS(H45))+SQRT(H40^2-(H42-H43*TAN(RADIANS(H45))-H40*COS(RADIANS(H45)))^2)</f>
        <v>1.6042737240968283</v>
      </c>
      <c r="I46" s="5">
        <f>H40*SIN(RADIANS(I45))+SQRT(H40^2-(H42-H43*TAN(RADIANS(I45))-H40*COS(RADIANS(I45)))^2)</f>
        <v>1.6045942411389524</v>
      </c>
      <c r="J46" s="5">
        <f>J40*SIN(RADIANS(J45))+SQRT(J40^2-(J42-J43*TAN(RADIANS(J45))-J40*COS(RADIANS(J45)))^2)</f>
        <v>2.1740868509593323</v>
      </c>
      <c r="K46" s="5">
        <f>J40*SIN(RADIANS(K45))+SQRT(J40^2-(J42-J43*TAN(RADIANS(K45))-J40*COS(RADIANS(K45)))^2)</f>
        <v>2.1745110521093736</v>
      </c>
      <c r="L46" s="5">
        <f>L40*SIN(RADIANS(L45))+SQRT(L40^2-(L42-L43*TAN(RADIANS(L45))-L40*COS(RADIANS(L45)))^2)</f>
        <v>2.7218922471248472</v>
      </c>
      <c r="M46" s="5">
        <f>L40*SIN(RADIANS(M45))+SQRT(L40^2-(L42-L43*TAN(RADIANS(M45))-L40*COS(RADIANS(M45)))^2)</f>
        <v>2.722412213181824</v>
      </c>
      <c r="N46" s="5">
        <f>N40*SIN(RADIANS(N45))+SQRT(N40^2-(N42-N43*TAN(RADIANS(N45))-N40*COS(RADIANS(N45)))^2)</f>
        <v>3.2574949532213657</v>
      </c>
      <c r="O46" s="5">
        <f>N40*SIN(RADIANS(O45))+SQRT(N40^2-(N42-N43*TAN(RADIANS(O45))-N40*COS(RADIANS(O45)))^2)</f>
        <v>3.258106064359975</v>
      </c>
      <c r="P46" s="5">
        <f>P40*SIN(RADIANS(P45))+SQRT(P40^2-(P42-P43*TAN(RADIANS(P45))-P40*COS(RADIANS(P45)))^2)</f>
        <v>3.7854679890256095</v>
      </c>
      <c r="Q46" s="5">
        <f>P40*SIN(RADIANS(Q45))+SQRT(P40^2-(P42-P43*TAN(RADIANS(Q45))-P40*COS(RADIANS(Q45)))^2)</f>
        <v>3.786167239604947</v>
      </c>
      <c r="R46" s="5">
        <f>R40*SIN(RADIANS(R45))+SQRT(R40^2-(R42-R43*TAN(RADIANS(R45))-R40*COS(RADIANS(R45)))^2)</f>
        <v>4.30829622245389</v>
      </c>
      <c r="S46" s="5">
        <f>R40*SIN(RADIANS(S45))+SQRT(R40^2-(R42-R43*TAN(RADIANS(S45))-R40*COS(RADIANS(S45)))^2)</f>
        <v>4.309081518925039</v>
      </c>
      <c r="T46" s="5">
        <f>T40*SIN(RADIANS(T45))+SQRT(T40^2-(T42-T43*TAN(RADIANS(T45))-T40*COS(RADIANS(T45)))^2)</f>
        <v>4.8274673907239345</v>
      </c>
      <c r="U46" s="5">
        <f>T40*SIN(RADIANS(U45))+SQRT(T40^2-(T42-T43*TAN(RADIANS(U45))-T40*COS(RADIANS(U45)))^2)</f>
        <v>4.828337204048374</v>
      </c>
      <c r="V46" s="5">
        <f>V40*SIN(RADIANS(V45))+SQRT(V40^2-(V42-V43*TAN(RADIANS(V45))-V40*COS(RADIANS(V45)))^2)</f>
        <v>5.343934923279887</v>
      </c>
      <c r="W46" s="5">
        <f>V40*SIN(RADIANS(W45))+SQRT(V40^2-(V42-V43*TAN(RADIANS(W45))-V40*COS(RADIANS(W45)))^2)</f>
        <v>5.344888096700336</v>
      </c>
    </row>
    <row r="47" spans="1:23" ht="12.75">
      <c r="A47" s="4" t="s">
        <v>7</v>
      </c>
      <c r="B47" s="5">
        <f>DEGREES(ATAN(SQRT(B40^2-(B42-B43*TAN(RADIANS(B45))-B40*COS(RADIANS(B45)))^2)/(B42-B43*TAN(RADIANS(B45))-B40*COS(RADIANS(B45)))))</f>
        <v>-34.04768866207281</v>
      </c>
      <c r="C47" s="5">
        <f>DEGREES(ATAN(SQRT(B40^2-(B42-B43*TAN(RADIANS(C45))-B40*COS(RADIANS(C45)))^2)/(B42-B43*TAN(RADIANS(C45))-B40*COS(RADIANS(C45)))))</f>
        <v>-34.0553384271575</v>
      </c>
      <c r="D47" s="5">
        <f>DEGREES(ATAN(SQRT(D40^2-(D42-D43*TAN(RADIANS(D45))-D40*COS(RADIANS(D45)))^2)/(D42-D43*TAN(RADIANS(D45))-D40*COS(RADIANS(D45)))))</f>
        <v>-26.54651113580175</v>
      </c>
      <c r="E47" s="5">
        <f>DEGREES(ATAN(SQRT(D40^2-(D42-D43*TAN(RADIANS(E45))-D40*COS(RADIANS(E45)))^2)/(D42-D43*TAN(RADIANS(E45))-D40*COS(RADIANS(E45)))))</f>
        <v>-26.55254251399774</v>
      </c>
      <c r="F47" s="5">
        <f>DEGREES(ATAN(SQRT(F40^2-(F42-F43*TAN(RADIANS(F45))-F40*COS(RADIANS(F45)))^2)/(F42-F43*TAN(RADIANS(F45))-F40*COS(RADIANS(F45)))))</f>
        <v>-19.252982773426282</v>
      </c>
      <c r="G47" s="5">
        <f>DEGREES(ATAN(SQRT(F40^2-(F42-F43*TAN(RADIANS(G45))-F40*COS(RADIANS(G45)))^2)/(F42-F43*TAN(RADIANS(G45))-F40*COS(RADIANS(G45)))))</f>
        <v>-19.25739387641953</v>
      </c>
      <c r="H47" s="5">
        <f>DEGREES(ATAN(SQRT(H40^2-(H42-H43*TAN(RADIANS(H45))-H40*COS(RADIANS(H45)))^2)/(H42-H43*TAN(RADIANS(H45))-H40*COS(RADIANS(H45)))))</f>
        <v>-14.344903869335791</v>
      </c>
      <c r="I47" s="5">
        <f>DEGREES(ATAN(SQRT(H40^2-(H42-H43*TAN(RADIANS(I45))-H40*COS(RADIANS(I45)))^2)/(H42-H43*TAN(RADIANS(I45))-H40*COS(RADIANS(I45)))))</f>
        <v>-14.348143281621656</v>
      </c>
      <c r="J47" s="5">
        <f>DEGREES(ATAN(SQRT(J40^2-(J42-J43*TAN(RADIANS(J45))-J40*COS(RADIANS(J45)))^2)/(J42-J43*TAN(RADIANS(J45))-J40*COS(RADIANS(J45)))))</f>
        <v>-12.29292950416152</v>
      </c>
      <c r="K47" s="5">
        <f>DEGREES(ATAN(SQRT(J40^2-(J42-J43*TAN(RADIANS(K45))-J40*COS(RADIANS(K45)))^2)/(J42-J43*TAN(RADIANS(K45))-J40*COS(RADIANS(K45)))))</f>
        <v>-12.295643923927004</v>
      </c>
      <c r="L47" s="5">
        <f>DEGREES(ATAN(SQRT(L40^2-(L42-L43*TAN(RADIANS(L45))-L40*COS(RADIANS(L45)))^2)/(L42-L43*TAN(RADIANS(L45))-L40*COS(RADIANS(L45)))))</f>
        <v>-11.128477103206677</v>
      </c>
      <c r="M47" s="5">
        <f>DEGREES(ATAN(SQRT(L40^2-(L42-L43*TAN(RADIANS(M45))-L40*COS(RADIANS(M45)))^2)/(L42-L43*TAN(RADIANS(M45))-L40*COS(RADIANS(M45)))))</f>
        <v>-11.130880314304868</v>
      </c>
      <c r="N47" s="5">
        <f>DEGREES(ATAN(SQRT(N40^2-(N42-N43*TAN(RADIANS(N45))-N40*COS(RADIANS(N45)))^2)/(N42-N43*TAN(RADIANS(N45))-N40*COS(RADIANS(N45)))))</f>
        <v>-10.368089981830872</v>
      </c>
      <c r="O47" s="5">
        <f>DEGREES(ATAN(SQRT(N40^2-(N42-N43*TAN(RADIANS(O45))-N40*COS(RADIANS(O45)))^2)/(N42-N43*TAN(RADIANS(O45))-N40*COS(RADIANS(O45)))))</f>
        <v>-10.370283502660088</v>
      </c>
      <c r="P47" s="5">
        <f>DEGREES(ATAN(SQRT(P40^2-(P42-P43*TAN(RADIANS(P45))-P40*COS(RADIANS(P45)))^2)/(P42-P43*TAN(RADIANS(P45))-P40*COS(RADIANS(P45)))))</f>
        <v>-9.828921400151842</v>
      </c>
      <c r="Q47" s="5">
        <f>DEGREES(ATAN(SQRT(P40^2-(P42-P43*TAN(RADIANS(Q45))-P40*COS(RADIANS(Q45)))^2)/(P42-P43*TAN(RADIANS(Q45))-P40*COS(RADIANS(Q45)))))</f>
        <v>-9.830962604611388</v>
      </c>
      <c r="R47" s="5">
        <f>DEGREES(ATAN(SQRT(R40^2-(R42-R43*TAN(RADIANS(R45))-R40*COS(RADIANS(R45)))^2)/(R42-R43*TAN(RADIANS(R45))-R40*COS(RADIANS(R45)))))</f>
        <v>-9.425131623586159</v>
      </c>
      <c r="S47" s="5">
        <f>DEGREES(ATAN(SQRT(R40^2-(R42-R43*TAN(RADIANS(S45))-R40*COS(RADIANS(S45)))^2)/(R42-R43*TAN(RADIANS(S45))-R40*COS(RADIANS(S45)))))</f>
        <v>-9.427056525953423</v>
      </c>
      <c r="T47" s="5">
        <f>DEGREES(ATAN(SQRT(T40^2-(T42-T43*TAN(RADIANS(T45))-T40*COS(RADIANS(T45)))^2)/(T42-T43*TAN(RADIANS(T45))-T40*COS(RADIANS(T45)))))</f>
        <v>-9.110663019399768</v>
      </c>
      <c r="U47" s="5">
        <f>DEGREES(ATAN(SQRT(T40^2-(T42-T43*TAN(RADIANS(U45))-T40*COS(RADIANS(U45)))^2)/(T42-T43*TAN(RADIANS(U45))-T40*COS(RADIANS(U45)))))</f>
        <v>-9.112495886549967</v>
      </c>
      <c r="V47" s="5">
        <f>DEGREES(ATAN(SQRT(V40^2-(V42-V43*TAN(RADIANS(V45))-V40*COS(RADIANS(V45)))^2)/(V42-V43*TAN(RADIANS(V45))-V40*COS(RADIANS(V45)))))</f>
        <v>-8.858429107241932</v>
      </c>
      <c r="W47" s="5">
        <f>DEGREES(ATAN(SQRT(V40^2-(V42-V43*TAN(RADIANS(W45))-V40*COS(RADIANS(W45)))^2)/(V42-V43*TAN(RADIANS(W45))-V40*COS(RADIANS(W45)))))</f>
        <v>-8.860187151439623</v>
      </c>
    </row>
    <row r="48" spans="1:2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.75">
      <c r="A49" s="4" t="s">
        <v>8</v>
      </c>
      <c r="B49" s="5">
        <f>SIN(RADIANS(B41))^2*(C46-B46)/RADIANS(C47-B47)</f>
        <v>-0.20028914342640114</v>
      </c>
      <c r="C49" s="5"/>
      <c r="D49" s="5">
        <f>SIN(RADIANS(D41))^2*(E46-D46)/RADIANS(E47-D47)</f>
        <v>-0.23509138462213786</v>
      </c>
      <c r="E49" s="5"/>
      <c r="F49" s="5">
        <f>SIN(RADIANS(F41))^2*(G46-F46)/RADIANS(G47-F47)</f>
        <v>-0.28252509438974355</v>
      </c>
      <c r="G49" s="5"/>
      <c r="H49" s="5">
        <f>SIN(RADIANS(H41))^2*(I46-H46)/RADIANS(I47-H47)</f>
        <v>-0.3479879603228017</v>
      </c>
      <c r="I49" s="5"/>
      <c r="J49" s="5">
        <f>SIN(RADIANS(J41))^2*(K46-J46)/RADIANS(K47-J47)</f>
        <v>-0.40589044291019283</v>
      </c>
      <c r="K49" s="5"/>
      <c r="L49" s="5">
        <f>SIN(RADIANS(L41))^2*(M46-L46)/RADIANS(M47-L47)</f>
        <v>-0.4618105128210382</v>
      </c>
      <c r="M49" s="5"/>
      <c r="N49" s="5">
        <f>SIN(RADIANS(N41))^2*(O46-N46)/RADIANS(O47-N47)</f>
        <v>-0.5170204618750711</v>
      </c>
      <c r="O49" s="5"/>
      <c r="P49" s="5">
        <f>SIN(RADIANS(P41))^2*(Q46-P46)/RADIANS(Q47-P47)</f>
        <v>-0.571967083447049</v>
      </c>
      <c r="Q49" s="5"/>
      <c r="R49" s="5">
        <f>SIN(RADIANS(R41))^2*(S46-R46)/RADIANS(S47-R47)</f>
        <v>-0.6268393661342947</v>
      </c>
      <c r="S49" s="5"/>
      <c r="T49" s="5">
        <f>SIN(RADIANS(T41))^2*(U46-T46)/RADIANS(U47-T47)</f>
        <v>-0.6817246602434419</v>
      </c>
      <c r="U49" s="5"/>
      <c r="V49" s="5">
        <f>SIN(RADIANS(V41))^2*(W46-V46)/RADIANS(W47-V47)</f>
        <v>-0.7366644786866968</v>
      </c>
      <c r="W49" s="5"/>
    </row>
    <row r="50" spans="1:23" ht="12.75">
      <c r="A50" s="13" t="s">
        <v>23</v>
      </c>
      <c r="B50" s="7">
        <f>B46+B49/TAN(RADIANS(B47))</f>
        <v>0.7451323690238398</v>
      </c>
      <c r="C50" s="7"/>
      <c r="D50" s="7">
        <f>D46+D49/TAN(RADIANS(D47))</f>
        <v>1.0929271120233335</v>
      </c>
      <c r="E50" s="7"/>
      <c r="F50" s="7">
        <f>F46+F49/TAN(RADIANS(F47))</f>
        <v>1.79321012480548</v>
      </c>
      <c r="G50" s="7"/>
      <c r="H50" s="7">
        <f>H46+H49/TAN(RADIANS(H47))</f>
        <v>2.96502830050382</v>
      </c>
      <c r="I50" s="7"/>
      <c r="J50" s="7">
        <f>J46+J49/TAN(RADIANS(J47))</f>
        <v>4.036772844788813</v>
      </c>
      <c r="K50" s="7"/>
      <c r="L50" s="7">
        <f>L46+L49/TAN(RADIANS(L47))</f>
        <v>5.069583101710357</v>
      </c>
      <c r="M50" s="7"/>
      <c r="N50" s="7">
        <f>N46+N49/TAN(RADIANS(N47))</f>
        <v>6.08338100652458</v>
      </c>
      <c r="O50" s="7"/>
      <c r="P50" s="7">
        <f>P46+P49/TAN(RADIANS(P47))</f>
        <v>7.086867734546438</v>
      </c>
      <c r="Q50" s="7"/>
      <c r="R50" s="7">
        <f>R46+R49/TAN(RADIANS(R47))</f>
        <v>8.084445852068969</v>
      </c>
      <c r="S50" s="7"/>
      <c r="T50" s="7">
        <f>T46+T49/TAN(RADIANS(T47))</f>
        <v>9.078550489392597</v>
      </c>
      <c r="U50" s="7"/>
      <c r="V50" s="7">
        <f>V46+V49/TAN(RADIANS(V47))</f>
        <v>10.070610304651183</v>
      </c>
      <c r="W50" s="7"/>
    </row>
    <row r="53" spans="2:4" ht="12.75">
      <c r="B53" t="s">
        <v>30</v>
      </c>
      <c r="D53" t="s">
        <v>31</v>
      </c>
    </row>
    <row r="54" spans="1:5" ht="12.75">
      <c r="A54" s="14" t="s">
        <v>24</v>
      </c>
      <c r="B54" s="14" t="s">
        <v>25</v>
      </c>
      <c r="C54" s="14" t="s">
        <v>26</v>
      </c>
      <c r="D54" s="14" t="s">
        <v>27</v>
      </c>
      <c r="E54" s="14" t="s">
        <v>28</v>
      </c>
    </row>
    <row r="55" spans="1:5" ht="12.75">
      <c r="A55" s="15" t="s">
        <v>39</v>
      </c>
      <c r="B55" s="15" t="s">
        <v>35</v>
      </c>
      <c r="C55" s="15" t="s">
        <v>35</v>
      </c>
      <c r="D55" s="15" t="s">
        <v>35</v>
      </c>
      <c r="E55" s="15" t="s">
        <v>35</v>
      </c>
    </row>
    <row r="56" spans="1:5" ht="12.75">
      <c r="A56">
        <f>B39</f>
        <v>0.3</v>
      </c>
      <c r="B56" s="16">
        <f>B49</f>
        <v>-0.20028914342640114</v>
      </c>
      <c r="C56" s="16">
        <f>B50</f>
        <v>0.7451323690238398</v>
      </c>
      <c r="D56" s="16">
        <f>(B56-'point-point model'!B$20)*COS(RADIANS('point-point model'!B$16))-(C56-'point-point model'!B$21)*SIN(RADIANS('point-point model'!B$16))</f>
        <v>-0.39264593888646065</v>
      </c>
      <c r="E56" s="16">
        <f>(B56-'point-point model'!B$20)*SIN(RADIANS('point-point model'!B$16))+(C56-'point-point model'!B$21)*COS(RADIANS('point-point model'!B$16))</f>
        <v>3.865216822382549</v>
      </c>
    </row>
    <row r="57" spans="1:5" ht="12.75">
      <c r="A57">
        <f>D39</f>
        <v>0.5</v>
      </c>
      <c r="B57" s="16">
        <f>D49</f>
        <v>-0.23509138462213786</v>
      </c>
      <c r="C57" s="16">
        <f>D50</f>
        <v>1.0929271120233335</v>
      </c>
      <c r="D57" s="16">
        <f>(B57-'point-point model'!B$20)*COS(RADIANS('point-point model'!B$16))-(C57-'point-point model'!B$21)*SIN(RADIANS('point-point model'!B$16))</f>
        <v>-0.46659594889213885</v>
      </c>
      <c r="E57" s="16">
        <f>(B57-'point-point model'!B$20)*SIN(RADIANS('point-point model'!B$16))+(C57-'point-point model'!B$21)*COS(RADIANS('point-point model'!B$16))</f>
        <v>4.206836165029435</v>
      </c>
    </row>
    <row r="58" spans="1:5" ht="12.75">
      <c r="A58" s="1">
        <f>F39</f>
        <v>1</v>
      </c>
      <c r="B58" s="16">
        <f>F49</f>
        <v>-0.28252509438974355</v>
      </c>
      <c r="C58" s="16">
        <f>F50</f>
        <v>1.79321012480548</v>
      </c>
      <c r="D58" s="16">
        <f>(B58-'point-point model'!B$20)*COS(RADIANS('point-point model'!B$16))-(C58-'point-point model'!B$21)*SIN(RADIANS('point-point model'!B$16))</f>
        <v>-0.5929990355215745</v>
      </c>
      <c r="E58" s="16">
        <f>(B58-'point-point model'!B$20)*SIN(RADIANS('point-point model'!B$16))+(C58-'point-point model'!B$21)*COS(RADIANS('point-point model'!B$16))</f>
        <v>4.8972480091515544</v>
      </c>
    </row>
    <row r="59" spans="1:5" ht="12.75">
      <c r="A59" s="10">
        <f>H39</f>
        <v>2</v>
      </c>
      <c r="B59" s="17">
        <f>H49</f>
        <v>-0.3479879603228017</v>
      </c>
      <c r="C59" s="17">
        <f>H50</f>
        <v>2.96502830050382</v>
      </c>
      <c r="D59" s="16">
        <f>(B59-'point-point model'!B$20)*COS(RADIANS('point-point model'!B$16))-(C59-'point-point model'!B$21)*SIN(RADIANS('point-point model'!B$16))</f>
        <v>-0.7906946801452884</v>
      </c>
      <c r="E59" s="16">
        <f>(B59-'point-point model'!B$20)*SIN(RADIANS('point-point model'!B$16))+(C59-'point-point model'!B$21)*COS(RADIANS('point-point model'!B$16))</f>
        <v>6.054122961689629</v>
      </c>
    </row>
    <row r="60" spans="1:5" ht="12.75">
      <c r="A60" s="1">
        <f>J39</f>
        <v>3</v>
      </c>
      <c r="B60" s="17">
        <f>J49</f>
        <v>-0.40589044291019283</v>
      </c>
      <c r="C60" s="17">
        <f>J50</f>
        <v>4.036772844788813</v>
      </c>
      <c r="D60" s="16">
        <f>(B60-'point-point model'!B$20)*COS(RADIANS('point-point model'!B$16))-(C60-'point-point model'!B$21)*SIN(RADIANS('point-point model'!B$16))</f>
        <v>-0.9695498839692058</v>
      </c>
      <c r="E60" s="16">
        <f>(B60-'point-point model'!B$20)*SIN(RADIANS('point-point model'!B$16))+(C60-'point-point model'!B$21)*COS(RADIANS('point-point model'!B$16))</f>
        <v>7.112423430252096</v>
      </c>
    </row>
    <row r="61" spans="1:5" ht="12.75">
      <c r="A61" s="10">
        <f>L39</f>
        <v>4</v>
      </c>
      <c r="B61" s="18">
        <f>L49</f>
        <v>-0.4618105128210382</v>
      </c>
      <c r="C61" s="18">
        <f>L50</f>
        <v>5.069583101710357</v>
      </c>
      <c r="D61" s="16">
        <f>(B61-'point-point model'!B$20)*COS(RADIANS('point-point model'!B$16))-(C61-'point-point model'!B$21)*SIN(RADIANS('point-point model'!B$16))</f>
        <v>-1.142027931896065</v>
      </c>
      <c r="E61" s="16">
        <f>(B61-'point-point model'!B$20)*SIN(RADIANS('point-point model'!B$16))+(C61-'point-point model'!B$21)*COS(RADIANS('point-point model'!B$16))</f>
        <v>8.132264302155413</v>
      </c>
    </row>
    <row r="62" spans="1:5" ht="12.75">
      <c r="A62" s="1">
        <f>N39</f>
        <v>5</v>
      </c>
      <c r="B62" s="17">
        <f>N49</f>
        <v>-0.5170204618750711</v>
      </c>
      <c r="C62" s="18">
        <f>N50</f>
        <v>6.08338100652458</v>
      </c>
      <c r="D62" s="16">
        <f>(B62-'point-point model'!B$20)*COS(RADIANS('point-point model'!B$16))-(C62-'point-point model'!B$21)*SIN(RADIANS('point-point model'!B$16))</f>
        <v>-1.311648164365631</v>
      </c>
      <c r="E62" s="16">
        <f>(B62-'point-point model'!B$20)*SIN(RADIANS('point-point model'!B$16))+(C62-'point-point model'!B$21)*COS(RADIANS('point-point model'!B$16))</f>
        <v>9.13329542405784</v>
      </c>
    </row>
    <row r="63" spans="1:5" ht="12.75">
      <c r="A63" s="10">
        <f>P39</f>
        <v>6</v>
      </c>
      <c r="B63" s="17">
        <f>P49</f>
        <v>-0.571967083447049</v>
      </c>
      <c r="C63" s="17">
        <f>P50</f>
        <v>7.086867734546438</v>
      </c>
      <c r="D63" s="16">
        <f>(B63-'point-point model'!B$20)*COS(RADIANS('point-point model'!B$16))-(C63-'point-point model'!B$21)*SIN(RADIANS('point-point model'!B$16))</f>
        <v>-1.479839503709576</v>
      </c>
      <c r="E63" s="16">
        <f>(B63-'point-point model'!B$20)*SIN(RADIANS('point-point model'!B$16))+(C63-'point-point model'!B$21)*COS(RADIANS('point-point model'!B$16))</f>
        <v>10.124111460417705</v>
      </c>
    </row>
    <row r="64" spans="1:5" ht="12.75">
      <c r="A64" s="1">
        <f>R39</f>
        <v>7</v>
      </c>
      <c r="B64" s="18">
        <f>R49</f>
        <v>-0.6268393661342947</v>
      </c>
      <c r="C64" s="18">
        <f>R50</f>
        <v>8.084445852068969</v>
      </c>
      <c r="D64" s="16">
        <f>(B64-'point-point model'!B$20)*COS(RADIANS('point-point model'!B$16))-(C64-'point-point model'!B$21)*SIN(RADIANS('point-point model'!B$16))</f>
        <v>-1.6472881083324418</v>
      </c>
      <c r="E64" s="16">
        <f>(B64-'point-point model'!B$20)*SIN(RADIANS('point-point model'!B$16))+(C64-'point-point model'!B$21)*COS(RADIANS('point-point model'!B$16))</f>
        <v>11.109065283079946</v>
      </c>
    </row>
    <row r="65" spans="1:5" ht="12.75">
      <c r="A65" s="10">
        <f>T39</f>
        <v>8</v>
      </c>
      <c r="B65" s="17">
        <f>T49</f>
        <v>-0.6817246602434419</v>
      </c>
      <c r="C65" s="18">
        <f>T50</f>
        <v>9.078550489392597</v>
      </c>
      <c r="D65" s="16">
        <f>(B65-'point-point model'!B$20)*COS(RADIANS('point-point model'!B$16))-(C65-'point-point model'!B$21)*SIN(RADIANS('point-point model'!B$16))</f>
        <v>-1.8143564316164367</v>
      </c>
      <c r="E65" s="16">
        <f>(B65-'point-point model'!B$20)*SIN(RADIANS('point-point model'!B$16))+(C65-'point-point model'!B$21)*COS(RADIANS('point-point model'!B$16))</f>
        <v>12.090566480640533</v>
      </c>
    </row>
    <row r="66" spans="1:5" ht="12.75">
      <c r="A66" s="1">
        <f>V39</f>
        <v>9</v>
      </c>
      <c r="B66" s="17">
        <f>V49</f>
        <v>-0.7366644786866968</v>
      </c>
      <c r="C66" s="17">
        <f>V50</f>
        <v>10.070610304651183</v>
      </c>
      <c r="D66" s="16">
        <f>(B66-'point-point model'!B$20)*COS(RADIANS('point-point model'!B$16))-(C66-'point-point model'!B$21)*SIN(RADIANS('point-point model'!B$16))</f>
        <v>-1.981247448314904</v>
      </c>
      <c r="E66" s="16">
        <f>(B66-'point-point model'!B$20)*SIN(RADIANS('point-point model'!B$16))+(C66-'point-point model'!B$21)*COS(RADIANS('point-point model'!B$16))</f>
        <v>13.070029828217576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workbookViewId="0" topLeftCell="A1">
      <selection activeCell="F34" sqref="F34"/>
    </sheetView>
  </sheetViews>
  <sheetFormatPr defaultColWidth="9.140625" defaultRowHeight="12.75"/>
  <cols>
    <col min="1" max="1" width="13.57421875" style="0" customWidth="1"/>
    <col min="2" max="2" width="10.57421875" style="0" bestFit="1" customWidth="1"/>
    <col min="3" max="3" width="11.57421875" style="0" customWidth="1"/>
    <col min="4" max="4" width="10.140625" style="0" customWidth="1"/>
  </cols>
  <sheetData>
    <row r="1" ht="12.75">
      <c r="A1" t="s">
        <v>57</v>
      </c>
    </row>
    <row r="2" spans="1:2" ht="12.75">
      <c r="A2" t="s">
        <v>58</v>
      </c>
      <c r="B2" t="s">
        <v>59</v>
      </c>
    </row>
    <row r="3" ht="12.75">
      <c r="B3" t="s">
        <v>60</v>
      </c>
    </row>
    <row r="4" ht="12.75">
      <c r="B4" t="s">
        <v>61</v>
      </c>
    </row>
    <row r="5" ht="12.75">
      <c r="B5" t="s">
        <v>62</v>
      </c>
    </row>
    <row r="6" ht="12.75">
      <c r="B6" t="s">
        <v>63</v>
      </c>
    </row>
    <row r="8" ht="12.75">
      <c r="A8" s="51" t="s">
        <v>99</v>
      </c>
    </row>
    <row r="9" spans="1:10" ht="12.75">
      <c r="A9" s="39" t="s">
        <v>13</v>
      </c>
      <c r="B9" s="40">
        <f>results!B2</f>
        <v>12</v>
      </c>
      <c r="C9" s="40" t="s">
        <v>14</v>
      </c>
      <c r="D9" s="41" t="s">
        <v>53</v>
      </c>
      <c r="E9" s="42"/>
      <c r="F9" s="42"/>
      <c r="G9" s="42"/>
      <c r="H9" s="42"/>
      <c r="I9" s="42"/>
      <c r="J9" s="43"/>
    </row>
    <row r="10" spans="1:10" ht="12.75">
      <c r="A10" s="44" t="s">
        <v>9</v>
      </c>
      <c r="B10" s="45">
        <f>results!B3</f>
        <v>1.5</v>
      </c>
      <c r="C10" s="45" t="s">
        <v>10</v>
      </c>
      <c r="D10" s="46" t="s">
        <v>11</v>
      </c>
      <c r="E10" s="47"/>
      <c r="F10" s="47"/>
      <c r="G10" s="47"/>
      <c r="H10" s="47"/>
      <c r="I10" s="47"/>
      <c r="J10" s="48"/>
    </row>
    <row r="11" spans="1:10" ht="12.75">
      <c r="A11" s="44" t="s">
        <v>65</v>
      </c>
      <c r="B11" s="50">
        <f>results!B4</f>
        <v>-4.7</v>
      </c>
      <c r="C11" s="45" t="s">
        <v>66</v>
      </c>
      <c r="D11" s="46" t="s">
        <v>67</v>
      </c>
      <c r="E11" s="47"/>
      <c r="F11" s="47"/>
      <c r="G11" s="47"/>
      <c r="H11" s="47"/>
      <c r="I11" s="47"/>
      <c r="J11" s="48"/>
    </row>
    <row r="12" spans="1:10" ht="12.75">
      <c r="A12" s="44" t="s">
        <v>43</v>
      </c>
      <c r="B12" s="49">
        <f>results!B5</f>
        <v>0.41</v>
      </c>
      <c r="C12" s="45" t="s">
        <v>0</v>
      </c>
      <c r="D12" s="46" t="s">
        <v>44</v>
      </c>
      <c r="E12" s="47"/>
      <c r="F12" s="47"/>
      <c r="G12" s="47"/>
      <c r="H12" s="47"/>
      <c r="I12" s="47"/>
      <c r="J12" s="48"/>
    </row>
    <row r="13" spans="1:10" ht="12.75">
      <c r="A13" s="44" t="s">
        <v>42</v>
      </c>
      <c r="B13" s="49">
        <f>results!B6</f>
        <v>6</v>
      </c>
      <c r="C13" s="45" t="s">
        <v>0</v>
      </c>
      <c r="D13" s="46" t="s">
        <v>45</v>
      </c>
      <c r="E13" s="47"/>
      <c r="F13" s="47"/>
      <c r="G13" s="47"/>
      <c r="H13" s="47"/>
      <c r="I13" s="47"/>
      <c r="J13" s="48"/>
    </row>
    <row r="14" spans="1:10" ht="12.75">
      <c r="A14" s="44" t="s">
        <v>18</v>
      </c>
      <c r="B14" s="49">
        <f>results!B7</f>
        <v>3.16</v>
      </c>
      <c r="C14" s="45" t="s">
        <v>0</v>
      </c>
      <c r="D14" s="46" t="s">
        <v>19</v>
      </c>
      <c r="E14" s="47"/>
      <c r="F14" s="47"/>
      <c r="G14" s="47"/>
      <c r="H14" s="47"/>
      <c r="I14" s="47"/>
      <c r="J14" s="48"/>
    </row>
    <row r="15" spans="1:10" ht="12.75">
      <c r="A15" s="44" t="s">
        <v>20</v>
      </c>
      <c r="B15" s="49">
        <f>results!B8</f>
        <v>0.11</v>
      </c>
      <c r="C15" s="45" t="s">
        <v>0</v>
      </c>
      <c r="D15" s="46" t="s">
        <v>21</v>
      </c>
      <c r="E15" s="47"/>
      <c r="F15" s="47"/>
      <c r="G15" s="47"/>
      <c r="H15" s="47"/>
      <c r="I15" s="47"/>
      <c r="J15" s="48"/>
    </row>
    <row r="16" spans="1:10" ht="12.75">
      <c r="A16" s="44" t="s">
        <v>22</v>
      </c>
      <c r="B16" s="49">
        <f>results!B9</f>
        <v>6.5</v>
      </c>
      <c r="C16" s="45" t="s">
        <v>1</v>
      </c>
      <c r="D16" s="46" t="s">
        <v>55</v>
      </c>
      <c r="E16" s="47"/>
      <c r="F16" s="47"/>
      <c r="G16" s="47"/>
      <c r="H16" s="47"/>
      <c r="I16" s="47"/>
      <c r="J16" s="48"/>
    </row>
    <row r="17" spans="1:10" ht="12.75">
      <c r="A17" s="44" t="s">
        <v>71</v>
      </c>
      <c r="B17" s="49">
        <f>results!B10</f>
        <v>0.7</v>
      </c>
      <c r="C17" s="45" t="s">
        <v>0</v>
      </c>
      <c r="D17" s="46" t="s">
        <v>69</v>
      </c>
      <c r="E17" s="47"/>
      <c r="F17" s="47"/>
      <c r="G17" s="47"/>
      <c r="H17" s="47"/>
      <c r="I17" s="47"/>
      <c r="J17" s="48"/>
    </row>
    <row r="18" spans="1:10" ht="12.75">
      <c r="A18" s="44" t="s">
        <v>72</v>
      </c>
      <c r="B18" s="49">
        <f>results!B11</f>
        <v>0.4</v>
      </c>
      <c r="C18" s="45" t="s">
        <v>0</v>
      </c>
      <c r="D18" s="46" t="s">
        <v>70</v>
      </c>
      <c r="E18" s="47"/>
      <c r="F18" s="47"/>
      <c r="G18" s="47"/>
      <c r="H18" s="47"/>
      <c r="I18" s="47"/>
      <c r="J18" s="48"/>
    </row>
    <row r="19" spans="1:10" ht="12.75">
      <c r="A19" s="28" t="s">
        <v>2</v>
      </c>
      <c r="B19" s="29">
        <f>B9/(0.3*B10)</f>
        <v>26.666666666666668</v>
      </c>
      <c r="C19" s="30" t="s">
        <v>0</v>
      </c>
      <c r="D19" s="12" t="s">
        <v>12</v>
      </c>
      <c r="E19" s="12"/>
      <c r="F19" s="12"/>
      <c r="G19" s="12"/>
      <c r="H19" s="12"/>
      <c r="I19" s="12"/>
      <c r="J19" s="27"/>
    </row>
    <row r="20" spans="1:10" ht="12.75">
      <c r="A20" s="4" t="s">
        <v>3</v>
      </c>
      <c r="B20" s="9">
        <f>B15-B14*SIN(RADIANS(B16))</f>
        <v>-0.24772215550658527</v>
      </c>
      <c r="C20" s="12" t="s">
        <v>0</v>
      </c>
      <c r="D20" s="12" t="s">
        <v>15</v>
      </c>
      <c r="E20" s="5"/>
      <c r="F20" s="5"/>
      <c r="G20" s="5"/>
      <c r="H20" s="5"/>
      <c r="I20" s="5"/>
      <c r="J20" s="6"/>
    </row>
    <row r="21" spans="1:10" ht="12.75">
      <c r="A21" s="4" t="s">
        <v>4</v>
      </c>
      <c r="B21" s="9">
        <f>-B14*COS(RADIANS(B16))</f>
        <v>-3.1396870639380166</v>
      </c>
      <c r="C21" s="12" t="s">
        <v>0</v>
      </c>
      <c r="D21" s="12" t="s">
        <v>16</v>
      </c>
      <c r="E21" s="5"/>
      <c r="F21" s="5"/>
      <c r="G21" s="5"/>
      <c r="H21" s="5"/>
      <c r="I21" s="5"/>
      <c r="J21" s="6"/>
    </row>
    <row r="22" spans="1:10" ht="12.75">
      <c r="A22" s="4" t="s">
        <v>46</v>
      </c>
      <c r="B22" s="9">
        <f>B20+TAN(RADIANS(B16))*(B23-B21)</f>
        <v>0.10999999999999999</v>
      </c>
      <c r="C22" s="12" t="s">
        <v>0</v>
      </c>
      <c r="D22" s="12" t="s">
        <v>50</v>
      </c>
      <c r="E22" s="5"/>
      <c r="F22" s="5"/>
      <c r="G22" s="5"/>
      <c r="H22" s="5"/>
      <c r="I22" s="5"/>
      <c r="J22" s="6"/>
    </row>
    <row r="23" spans="1:10" ht="12.75">
      <c r="A23" s="4" t="s">
        <v>47</v>
      </c>
      <c r="B23" s="9">
        <v>0</v>
      </c>
      <c r="C23" s="12" t="s">
        <v>0</v>
      </c>
      <c r="D23" s="12" t="s">
        <v>51</v>
      </c>
      <c r="E23" s="5"/>
      <c r="F23" s="5"/>
      <c r="G23" s="5"/>
      <c r="H23" s="5"/>
      <c r="I23" s="5"/>
      <c r="J23" s="6"/>
    </row>
    <row r="24" spans="1:10" ht="12.75">
      <c r="A24" s="4" t="s">
        <v>48</v>
      </c>
      <c r="B24" s="9">
        <f>B22-B19*COS(RADIANS(B16))+SQRT(B19^2-(B25-B23-B19*SIN(RADIANS(B16)))^2)</f>
        <v>0.11424623997796601</v>
      </c>
      <c r="C24" s="12" t="s">
        <v>0</v>
      </c>
      <c r="D24" s="12" t="s">
        <v>54</v>
      </c>
      <c r="E24" s="5"/>
      <c r="F24" s="5"/>
      <c r="G24" s="5"/>
      <c r="H24" s="5"/>
      <c r="I24" s="5"/>
      <c r="J24" s="6"/>
    </row>
    <row r="25" spans="1:10" ht="12.75">
      <c r="A25" s="4" t="s">
        <v>49</v>
      </c>
      <c r="B25" s="9">
        <f>B13</f>
        <v>6</v>
      </c>
      <c r="C25" s="12" t="s">
        <v>0</v>
      </c>
      <c r="D25" s="12" t="s">
        <v>52</v>
      </c>
      <c r="E25" s="5"/>
      <c r="F25" s="5"/>
      <c r="G25" s="5"/>
      <c r="H25" s="5"/>
      <c r="I25" s="5"/>
      <c r="J25" s="6"/>
    </row>
    <row r="26" spans="1:10" ht="12.75">
      <c r="A26" s="4" t="s">
        <v>5</v>
      </c>
      <c r="B26" s="9">
        <f>DEGREES(ATAN(SQRT(B19^2-(B20-B21*TAN(RADIANS(B16))-B19*COS(RADIANS(B16)))^2)/(B20-B21*TAN(RADIANS(B16))-B19*COS(RADIANS(B16)))))</f>
        <v>-8.331270610192398</v>
      </c>
      <c r="C26" s="5" t="s">
        <v>1</v>
      </c>
      <c r="D26" s="5" t="s">
        <v>56</v>
      </c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 t="s">
        <v>77</v>
      </c>
      <c r="B28" s="17">
        <v>-0.25</v>
      </c>
      <c r="C28" s="17">
        <v>-0.251</v>
      </c>
      <c r="D28" s="17">
        <v>-0.249</v>
      </c>
      <c r="E28" s="17">
        <v>-0.252</v>
      </c>
      <c r="F28" s="17">
        <v>-0.248</v>
      </c>
      <c r="G28" s="17">
        <v>-0.253</v>
      </c>
      <c r="H28" s="17">
        <v>-0.247</v>
      </c>
      <c r="I28" s="17">
        <v>-0.254</v>
      </c>
      <c r="J28" s="34">
        <v>-0.246</v>
      </c>
    </row>
    <row r="29" spans="1:10" ht="12.75">
      <c r="A29" s="4" t="s">
        <v>17</v>
      </c>
      <c r="B29" s="5">
        <f aca="true" t="shared" si="0" ref="B29:J29">$B19*SIN(RADIANS($B16))+SQRT($B19^2-(B28-$B21*TAN(RADIANS($B16))-$B19*COS(RADIANS($B16)))^2)</f>
        <v>6.867065317218136</v>
      </c>
      <c r="C29" s="5">
        <f t="shared" si="0"/>
        <v>6.860202159481501</v>
      </c>
      <c r="D29" s="5">
        <f t="shared" si="0"/>
        <v>6.873915997441249</v>
      </c>
      <c r="E29" s="5">
        <f t="shared" si="0"/>
        <v>6.853326457234237</v>
      </c>
      <c r="F29" s="5">
        <f t="shared" si="0"/>
        <v>6.880754266551241</v>
      </c>
      <c r="G29" s="5">
        <f t="shared" si="0"/>
        <v>6.8464381428749626</v>
      </c>
      <c r="H29" s="5">
        <f t="shared" si="0"/>
        <v>6.887580190359129</v>
      </c>
      <c r="I29" s="5">
        <f t="shared" si="0"/>
        <v>6.8395371481902565</v>
      </c>
      <c r="J29" s="6">
        <f t="shared" si="0"/>
        <v>6.894393834093941</v>
      </c>
    </row>
    <row r="30" spans="1:10" ht="12.75">
      <c r="A30" s="4" t="s">
        <v>7</v>
      </c>
      <c r="B30" s="5">
        <f aca="true" t="shared" si="1" ref="B30:J30">DEGREES(ATAN(SQRT($B19^2-(B28-$B21*TAN(RADIANS($B16))-$B19*COS(RADIANS($B16)))^2)/(B28-$B21*TAN(RADIANS($B16))-$B19*COS(RADIANS($B16)))))</f>
        <v>-8.29742536283816</v>
      </c>
      <c r="C30" s="5">
        <f t="shared" si="1"/>
        <v>-8.28252353007441</v>
      </c>
      <c r="D30" s="5">
        <f t="shared" si="1"/>
        <v>-8.312300667148735</v>
      </c>
      <c r="E30" s="5">
        <f t="shared" si="1"/>
        <v>-8.267595025404127</v>
      </c>
      <c r="F30" s="5">
        <f t="shared" si="1"/>
        <v>-8.327149585180086</v>
      </c>
      <c r="G30" s="5">
        <f t="shared" si="1"/>
        <v>-8.252639704078323</v>
      </c>
      <c r="H30" s="5">
        <f t="shared" si="1"/>
        <v>-8.341972257842459</v>
      </c>
      <c r="I30" s="5">
        <f t="shared" si="1"/>
        <v>-8.237657420035692</v>
      </c>
      <c r="J30" s="6">
        <f t="shared" si="1"/>
        <v>-8.356768824798282</v>
      </c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 t="s">
        <v>8</v>
      </c>
      <c r="C32" s="5">
        <f aca="true" t="shared" si="2" ref="C32:J32">SIN(RADIANS($B26))^2*(C29-$B29)/RADIANS(C30-$B30)</f>
        <v>-0.5540145203612926</v>
      </c>
      <c r="D32" s="5">
        <f t="shared" si="2"/>
        <v>-0.553993525430145</v>
      </c>
      <c r="E32" s="5">
        <f t="shared" si="2"/>
        <v>-0.5540250272127316</v>
      </c>
      <c r="F32" s="5">
        <f t="shared" si="2"/>
        <v>-0.5539830372832821</v>
      </c>
      <c r="G32" s="5">
        <f t="shared" si="2"/>
        <v>-0.5540355403670723</v>
      </c>
      <c r="H32" s="5">
        <f t="shared" si="2"/>
        <v>-0.5539725553045206</v>
      </c>
      <c r="I32" s="5">
        <f t="shared" si="2"/>
        <v>-0.5540460598585775</v>
      </c>
      <c r="J32" s="6">
        <f t="shared" si="2"/>
        <v>-0.5539620794607969</v>
      </c>
    </row>
    <row r="33" spans="1:10" ht="12.75">
      <c r="A33" s="13" t="s">
        <v>23</v>
      </c>
      <c r="B33" s="7"/>
      <c r="C33" s="7">
        <f aca="true" t="shared" si="3" ref="C33:J33">B29+C32/TAN(RADIANS(B30))</f>
        <v>10.665891838467566</v>
      </c>
      <c r="D33" s="7">
        <f t="shared" si="3"/>
        <v>10.665815684660396</v>
      </c>
      <c r="E33" s="7">
        <f t="shared" si="3"/>
        <v>10.66592015693379</v>
      </c>
      <c r="F33" s="7">
        <f t="shared" si="3"/>
        <v>10.665836049911944</v>
      </c>
      <c r="G33" s="7">
        <f t="shared" si="3"/>
        <v>10.665972470081698</v>
      </c>
      <c r="H33" s="7">
        <f t="shared" si="3"/>
        <v>10.665881199848693</v>
      </c>
      <c r="I33" s="7">
        <f t="shared" si="3"/>
        <v>10.666048521324544</v>
      </c>
      <c r="J33" s="8">
        <f t="shared" si="3"/>
        <v>10.665951405270892</v>
      </c>
    </row>
    <row r="36" ht="12.75">
      <c r="A36" s="19" t="s">
        <v>29</v>
      </c>
    </row>
    <row r="39" spans="1:23" ht="12.75">
      <c r="A39" s="2" t="s">
        <v>13</v>
      </c>
      <c r="B39" s="3">
        <v>0.3</v>
      </c>
      <c r="C39" s="3" t="s">
        <v>14</v>
      </c>
      <c r="D39" s="3">
        <v>0.5</v>
      </c>
      <c r="E39" s="3" t="s">
        <v>14</v>
      </c>
      <c r="F39" s="3">
        <v>1</v>
      </c>
      <c r="G39" s="3" t="s">
        <v>14</v>
      </c>
      <c r="H39" s="3">
        <v>2</v>
      </c>
      <c r="I39" s="3" t="s">
        <v>14</v>
      </c>
      <c r="J39" s="3">
        <v>3</v>
      </c>
      <c r="K39" s="3" t="s">
        <v>14</v>
      </c>
      <c r="L39" s="3">
        <v>4</v>
      </c>
      <c r="M39" s="3" t="s">
        <v>14</v>
      </c>
      <c r="N39" s="3">
        <v>5</v>
      </c>
      <c r="O39" s="3" t="s">
        <v>14</v>
      </c>
      <c r="P39" s="3">
        <v>6</v>
      </c>
      <c r="Q39" s="3" t="s">
        <v>14</v>
      </c>
      <c r="R39" s="3">
        <v>7</v>
      </c>
      <c r="S39" s="3" t="s">
        <v>14</v>
      </c>
      <c r="T39" s="3">
        <v>8</v>
      </c>
      <c r="U39" s="3" t="s">
        <v>14</v>
      </c>
      <c r="V39" s="3">
        <v>9</v>
      </c>
      <c r="W39" s="3" t="s">
        <v>14</v>
      </c>
    </row>
    <row r="40" spans="1:23" ht="12.75">
      <c r="A40" s="4" t="s">
        <v>2</v>
      </c>
      <c r="B40" s="9">
        <f>B39/(0.3*$B$10)</f>
        <v>0.6666666666666667</v>
      </c>
      <c r="C40" s="5" t="s">
        <v>0</v>
      </c>
      <c r="D40" s="9">
        <f>D39/(0.3*$B$10)</f>
        <v>1.1111111111111112</v>
      </c>
      <c r="E40" s="5" t="s">
        <v>0</v>
      </c>
      <c r="F40" s="9">
        <f>F39/(0.3*$B$10)</f>
        <v>2.2222222222222223</v>
      </c>
      <c r="G40" s="5" t="s">
        <v>0</v>
      </c>
      <c r="H40" s="9">
        <f>H39/(0.3*$B$10)</f>
        <v>4.444444444444445</v>
      </c>
      <c r="I40" s="5" t="s">
        <v>0</v>
      </c>
      <c r="J40" s="9">
        <f>J39/(0.3*$B$10)</f>
        <v>6.666666666666667</v>
      </c>
      <c r="K40" s="5" t="s">
        <v>0</v>
      </c>
      <c r="L40" s="9">
        <f>L39/(0.3*$B$10)</f>
        <v>8.88888888888889</v>
      </c>
      <c r="M40" s="5" t="s">
        <v>0</v>
      </c>
      <c r="N40" s="9">
        <f>N39/(0.3*$B$10)</f>
        <v>11.111111111111112</v>
      </c>
      <c r="O40" s="5" t="s">
        <v>0</v>
      </c>
      <c r="P40" s="9">
        <f>P39/(0.3*$B$10)</f>
        <v>13.333333333333334</v>
      </c>
      <c r="Q40" s="5" t="s">
        <v>0</v>
      </c>
      <c r="R40" s="9">
        <f>R39/(0.3*$B$10)</f>
        <v>15.555555555555557</v>
      </c>
      <c r="S40" s="5" t="s">
        <v>0</v>
      </c>
      <c r="T40" s="9">
        <f>T39/(0.3*$B$10)</f>
        <v>17.77777777777778</v>
      </c>
      <c r="U40" s="5" t="s">
        <v>0</v>
      </c>
      <c r="V40" s="9">
        <f>V39/(0.3*$B$10)</f>
        <v>20.000000000000004</v>
      </c>
      <c r="W40" s="5" t="s">
        <v>0</v>
      </c>
    </row>
    <row r="41" spans="1:23" ht="12.75">
      <c r="A41" s="4" t="s">
        <v>5</v>
      </c>
      <c r="B41" s="9">
        <f>DEGREES(ATAN(SQRT(B40^2-($B$20-$B$21*TAN(RADIANS($B$16))-B40*COS(RADIANS($B$16)))^2)/($B$20-$B$21*TAN(RADIANS($B$16))-B40*COS(RADIANS($B$16)))))</f>
        <v>-34.04768866207281</v>
      </c>
      <c r="C41" s="5" t="s">
        <v>1</v>
      </c>
      <c r="D41" s="9">
        <f>DEGREES(ATAN(SQRT(D40^2-($B$20-$B$21*TAN(RADIANS($B$16))-D40*COS(RADIANS($B$16)))^2)/($B$20-$B$21*TAN(RADIANS($B$16))-D40*COS(RADIANS($B$16)))))</f>
        <v>-26.54651113580175</v>
      </c>
      <c r="E41" s="5" t="s">
        <v>1</v>
      </c>
      <c r="F41" s="9">
        <f>DEGREES(ATAN(SQRT(F40^2-($B$20-$B$21*TAN(RADIANS($B$16))-F40*COS(RADIANS($B$16)))^2)/($B$20-$B$21*TAN(RADIANS($B$16))-F40*COS(RADIANS($B$16)))))</f>
        <v>-19.252982773426282</v>
      </c>
      <c r="G41" s="5" t="s">
        <v>1</v>
      </c>
      <c r="H41" s="9">
        <f>DEGREES(ATAN(SQRT(H40^2-($B$20-$B$21*TAN(RADIANS($B$16))-H40*COS(RADIANS($B$16)))^2)/($B$20-$B$21*TAN(RADIANS($B$16))-H40*COS(RADIANS($B$16)))))</f>
        <v>-14.344903869335791</v>
      </c>
      <c r="I41" s="5" t="s">
        <v>1</v>
      </c>
      <c r="J41" s="9">
        <f>DEGREES(ATAN(SQRT(J40^2-($B$20-$B$21*TAN(RADIANS($B$16))-J40*COS(RADIANS($B$16)))^2)/($B$20-$B$21*TAN(RADIANS($B$16))-J40*COS(RADIANS($B$16)))))</f>
        <v>-12.29292950416152</v>
      </c>
      <c r="K41" s="5" t="s">
        <v>1</v>
      </c>
      <c r="L41" s="9">
        <f>DEGREES(ATAN(SQRT(L40^2-($B$20-$B$21*TAN(RADIANS($B$16))-L40*COS(RADIANS($B$16)))^2)/($B$20-$B$21*TAN(RADIANS($B$16))-L40*COS(RADIANS($B$16)))))</f>
        <v>-11.128477103206677</v>
      </c>
      <c r="M41" s="5" t="s">
        <v>1</v>
      </c>
      <c r="N41" s="9">
        <f>DEGREES(ATAN(SQRT(N40^2-($B$20-$B$21*TAN(RADIANS($B$16))-N40*COS(RADIANS($B$16)))^2)/($B$20-$B$21*TAN(RADIANS($B$16))-N40*COS(RADIANS($B$16)))))</f>
        <v>-10.368089981830872</v>
      </c>
      <c r="O41" s="5" t="s">
        <v>1</v>
      </c>
      <c r="P41" s="9">
        <f>DEGREES(ATAN(SQRT(P40^2-($B$20-$B$21*TAN(RADIANS($B$16))-P40*COS(RADIANS($B$16)))^2)/($B$20-$B$21*TAN(RADIANS($B$16))-P40*COS(RADIANS($B$16)))))</f>
        <v>-9.828921400151842</v>
      </c>
      <c r="Q41" s="5" t="s">
        <v>1</v>
      </c>
      <c r="R41" s="9">
        <f>DEGREES(ATAN(SQRT(R40^2-($B$20-$B$21*TAN(RADIANS($B$16))-R40*COS(RADIANS($B$16)))^2)/($B$20-$B$21*TAN(RADIANS($B$16))-R40*COS(RADIANS($B$16)))))</f>
        <v>-9.425131623586159</v>
      </c>
      <c r="S41" s="5" t="s">
        <v>1</v>
      </c>
      <c r="T41" s="9">
        <f>DEGREES(ATAN(SQRT(T40^2-($B$20-$B$21*TAN(RADIANS($B$16))-T40*COS(RADIANS($B$16)))^2)/($B$20-$B$21*TAN(RADIANS($B$16))-T40*COS(RADIANS($B$16)))))</f>
        <v>-9.110663019399768</v>
      </c>
      <c r="U41" s="5" t="s">
        <v>1</v>
      </c>
      <c r="V41" s="9">
        <f>DEGREES(ATAN(SQRT(V40^2-($B$20-$B$21*TAN(RADIANS($B$16))-V40*COS(RADIANS($B$16)))^2)/($B$20-$B$21*TAN(RADIANS($B$16))-V40*COS(RADIANS($B$16)))))</f>
        <v>-8.858429107241932</v>
      </c>
      <c r="W41" s="5" t="s">
        <v>1</v>
      </c>
    </row>
    <row r="42" spans="1:23" ht="12.75">
      <c r="A42" s="4" t="s">
        <v>79</v>
      </c>
      <c r="B42" s="9">
        <f>$B$20+($B$17+B39/(300000000*0.000000001*$B$18*($B$11-0.00099)))*SIN(RADIANS($B$16))</f>
        <v>-0.22868170047396713</v>
      </c>
      <c r="C42" s="12" t="s">
        <v>0</v>
      </c>
      <c r="D42" s="9">
        <f>$B$20+($B$17+D39/(300000000*0.000000001*$B$18*($B$11-0.00099)))*SIN(RADIANS($B$16))</f>
        <v>-0.2688162302105782</v>
      </c>
      <c r="E42" s="12" t="s">
        <v>0</v>
      </c>
      <c r="F42" s="9">
        <f>$B$20+($B$17+F39/(300000000*0.000000001*$B$18*($B$11-0.00099)))*SIN(RADIANS($B$16))</f>
        <v>-0.3691525545521058</v>
      </c>
      <c r="G42" s="12" t="s">
        <v>0</v>
      </c>
      <c r="H42" s="9">
        <f>$B$20+($B$17+H39/(300000000*0.000000001*$B$18*($B$11-0.00099)))*SIN(RADIANS($B$16))</f>
        <v>-0.5698252032351611</v>
      </c>
      <c r="I42" s="12" t="s">
        <v>0</v>
      </c>
      <c r="J42" s="9">
        <f>$B$20+($B$17+J39/(300000000*0.000000001*$B$18*($B$11-0.00099)))*SIN(RADIANS($B$16))</f>
        <v>-0.7704978519182162</v>
      </c>
      <c r="K42" s="12" t="s">
        <v>0</v>
      </c>
      <c r="L42" s="9">
        <f>$B$20+($B$17+L39/(300000000*0.000000001*$B$18*($B$11-0.00099)))*SIN(RADIANS($B$16))</f>
        <v>-0.9711705006012714</v>
      </c>
      <c r="M42" s="12" t="s">
        <v>0</v>
      </c>
      <c r="N42" s="9">
        <f>$B$20+($B$17+N39/(300000000*0.000000001*$B$18*($B$11-0.00099)))*SIN(RADIANS($B$16))</f>
        <v>-1.1718431492843266</v>
      </c>
      <c r="O42" s="12" t="s">
        <v>0</v>
      </c>
      <c r="P42" s="9">
        <f>$B$20+($B$17+P39/(300000000*0.000000001*$B$18*($B$11-0.00099)))*SIN(RADIANS($B$16))</f>
        <v>-1.3725157979673819</v>
      </c>
      <c r="Q42" s="12" t="s">
        <v>0</v>
      </c>
      <c r="R42" s="9">
        <f>$B$20+($B$17+R39/(300000000*0.000000001*$B$18*($B$11-0.00099)))*SIN(RADIANS($B$16))</f>
        <v>-1.5731884466504371</v>
      </c>
      <c r="S42" s="12" t="s">
        <v>0</v>
      </c>
      <c r="T42" s="9">
        <f>$B$20+($B$17+T39/(300000000*0.000000001*$B$18*($B$11-0.00099)))*SIN(RADIANS($B$16))</f>
        <v>-1.7738610953334923</v>
      </c>
      <c r="U42" s="12" t="s">
        <v>0</v>
      </c>
      <c r="V42" s="9">
        <f>$B$20+($B$17+V39/(300000000*0.000000001*$B$18*($B$11-0.00099)))*SIN(RADIANS($B$16))</f>
        <v>-1.9745337440165476</v>
      </c>
      <c r="W42" s="12" t="s">
        <v>0</v>
      </c>
    </row>
    <row r="43" spans="1:23" ht="12.75">
      <c r="A43" s="4" t="s">
        <v>78</v>
      </c>
      <c r="B43" s="9">
        <f>$B$21+($B$17+B39/(300000000*0.000000001*$B$18*($B$11-0.00099)))*COS(RADIANS($B$16))</f>
        <v>-2.9725711348931796</v>
      </c>
      <c r="C43" s="12" t="s">
        <v>0</v>
      </c>
      <c r="D43" s="9">
        <f>$B$21+($B$17+D39/(300000000*0.000000001*$B$18*($B$11-0.00099)))*COS(RADIANS($B$16))</f>
        <v>-3.324827381512362</v>
      </c>
      <c r="E43" s="12" t="s">
        <v>0</v>
      </c>
      <c r="F43" s="9">
        <f>$B$21+($B$17+F39/(300000000*0.000000001*$B$18*($B$11-0.00099)))*COS(RADIANS($B$16))</f>
        <v>-4.205467998060319</v>
      </c>
      <c r="G43" s="12" t="s">
        <v>0</v>
      </c>
      <c r="H43" s="9">
        <f>$B$21+($B$17+H39/(300000000*0.000000001*$B$18*($B$11-0.00099)))*COS(RADIANS($B$16))</f>
        <v>-5.966749231156234</v>
      </c>
      <c r="I43" s="12" t="s">
        <v>0</v>
      </c>
      <c r="J43" s="9">
        <f>$B$21+($B$17+J39/(300000000*0.000000001*$B$18*($B$11-0.00099)))*COS(RADIANS($B$16))</f>
        <v>-7.7280304642521465</v>
      </c>
      <c r="K43" s="12" t="s">
        <v>0</v>
      </c>
      <c r="L43" s="9">
        <f>$B$21+($B$17+L39/(300000000*0.000000001*$B$18*($B$11-0.00099)))*COS(RADIANS($B$16))</f>
        <v>-9.489311697348061</v>
      </c>
      <c r="M43" s="12" t="s">
        <v>0</v>
      </c>
      <c r="N43" s="9">
        <f>$B$21+($B$17+N39/(300000000*0.000000001*$B$18*($B$11-0.00099)))*COS(RADIANS($B$16))</f>
        <v>-11.250592930443975</v>
      </c>
      <c r="O43" s="12" t="s">
        <v>0</v>
      </c>
      <c r="P43" s="9">
        <f>$B$21+($B$17+P39/(300000000*0.000000001*$B$18*($B$11-0.00099)))*COS(RADIANS($B$16))</f>
        <v>-13.011874163539888</v>
      </c>
      <c r="Q43" s="12" t="s">
        <v>0</v>
      </c>
      <c r="R43" s="9">
        <f>$B$21+($B$17+R39/(300000000*0.000000001*$B$18*($B$11-0.00099)))*COS(RADIANS($B$16))</f>
        <v>-14.773155396635804</v>
      </c>
      <c r="S43" s="12" t="s">
        <v>0</v>
      </c>
      <c r="T43" s="9">
        <f>$B$21+($B$17+T39/(300000000*0.000000001*$B$18*($B$11-0.00099)))*COS(RADIANS($B$16))</f>
        <v>-16.53443662973172</v>
      </c>
      <c r="U43" s="12" t="s">
        <v>0</v>
      </c>
      <c r="V43" s="9">
        <f>$B$21+($B$17+V39/(300000000*0.000000001*$B$18*($B$11-0.00099)))*COS(RADIANS($B$16))</f>
        <v>-18.29571786282763</v>
      </c>
      <c r="W43" s="12" t="s">
        <v>0</v>
      </c>
    </row>
    <row r="44" spans="1:2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2.75">
      <c r="A45" s="4" t="s">
        <v>6</v>
      </c>
      <c r="B45" s="17">
        <v>6.5</v>
      </c>
      <c r="C45" s="17">
        <f>B45+0.001</f>
        <v>6.501</v>
      </c>
      <c r="D45" s="17">
        <v>6.5</v>
      </c>
      <c r="E45" s="17">
        <f>D45+0.001</f>
        <v>6.501</v>
      </c>
      <c r="F45" s="17">
        <v>6.5</v>
      </c>
      <c r="G45" s="17">
        <f>F45+0.001</f>
        <v>6.501</v>
      </c>
      <c r="H45" s="17">
        <v>6.5</v>
      </c>
      <c r="I45" s="17">
        <f>H45+0.001</f>
        <v>6.501</v>
      </c>
      <c r="J45" s="17">
        <v>6.5</v>
      </c>
      <c r="K45" s="17">
        <f>J45+0.001</f>
        <v>6.501</v>
      </c>
      <c r="L45" s="17">
        <v>6.5</v>
      </c>
      <c r="M45" s="17">
        <f>L45+0.001</f>
        <v>6.501</v>
      </c>
      <c r="N45" s="17">
        <v>6.5</v>
      </c>
      <c r="O45" s="17">
        <f>N45+0.001</f>
        <v>6.501</v>
      </c>
      <c r="P45" s="17">
        <v>6.5</v>
      </c>
      <c r="Q45" s="17">
        <f>P45+0.001</f>
        <v>6.501</v>
      </c>
      <c r="R45" s="17">
        <v>6.5</v>
      </c>
      <c r="S45" s="17">
        <f>R45+0.001</f>
        <v>6.501</v>
      </c>
      <c r="T45" s="17">
        <v>6.5</v>
      </c>
      <c r="U45" s="17">
        <f>T45+0.001</f>
        <v>6.501</v>
      </c>
      <c r="V45" s="17">
        <v>6.5</v>
      </c>
      <c r="W45" s="17">
        <f>V45+0.001</f>
        <v>6.501</v>
      </c>
    </row>
    <row r="46" spans="1:23" ht="12.75">
      <c r="A46" s="4" t="s">
        <v>17</v>
      </c>
      <c r="B46" s="5">
        <f>B40*SIN(RADIANS(B45))+SQRT(B40^2-(B42-B43*TAN(RADIANS(B45))-B40*COS(RADIANS(B45)))^2)</f>
        <v>0.448723967648968</v>
      </c>
      <c r="C46" s="5">
        <f>B40*SIN(RADIANS(C45))+SQRT(B40^2-(B42-B43*TAN(RADIANS(C45))-B40*COS(RADIANS(C45)))^2)</f>
        <v>0.44881524131397865</v>
      </c>
      <c r="D46" s="5">
        <f>D40*SIN(RADIANS(D45))+SQRT(D40^2-(D42-D43*TAN(RADIANS(D45))-D40*COS(RADIANS(D45)))^2)</f>
        <v>0.6223637364982516</v>
      </c>
      <c r="E46" s="5">
        <f>D40*SIN(RADIANS(E45))+SQRT(D40^2-(D42-D43*TAN(RADIANS(E45))-D40*COS(RADIANS(E45)))^2)</f>
        <v>0.622505040479105</v>
      </c>
      <c r="F46" s="5">
        <f>F40*SIN(RADIANS(F45))+SQRT(F40^2-(F42-F43*TAN(RADIANS(F45))-F40*COS(RADIANS(F45)))^2)</f>
        <v>0.9843177935982591</v>
      </c>
      <c r="G46" s="5">
        <f>F40*SIN(RADIANS(G45))+SQRT(F40^2-(F42-F43*TAN(RADIANS(G45))-F40*COS(RADIANS(G45)))^2)</f>
        <v>0.9845817385227655</v>
      </c>
      <c r="H46" s="5">
        <f>H40*SIN(RADIANS(H45))+SQRT(H40^2-(H42-H43*TAN(RADIANS(H45))-H40*COS(RADIANS(H45)))^2)</f>
        <v>1.6042737240968283</v>
      </c>
      <c r="I46" s="5">
        <f>H40*SIN(RADIANS(I45))+SQRT(H40^2-(H42-H43*TAN(RADIANS(I45))-H40*COS(RADIANS(I45)))^2)</f>
        <v>1.604797547822666</v>
      </c>
      <c r="J46" s="5">
        <f>J40*SIN(RADIANS(J45))+SQRT(J40^2-(J42-J43*TAN(RADIANS(J45))-J40*COS(RADIANS(J45)))^2)</f>
        <v>2.1740868509593323</v>
      </c>
      <c r="K46" s="5">
        <f>J40*SIN(RADIANS(K45))+SQRT(J40^2-(J42-J43*TAN(RADIANS(K45))-J40*COS(RADIANS(K45)))^2)</f>
        <v>2.1748897526384274</v>
      </c>
      <c r="L46" s="5">
        <f>L40*SIN(RADIANS(L45))+SQRT(L40^2-(L42-L43*TAN(RADIANS(L45))-L40*COS(RADIANS(L45)))^2)</f>
        <v>2.7218922471248472</v>
      </c>
      <c r="M46" s="5">
        <f>L40*SIN(RADIANS(M45))+SQRT(L40^2-(L42-L43*TAN(RADIANS(M45))-L40*COS(RADIANS(M45)))^2)</f>
        <v>2.722988296653072</v>
      </c>
      <c r="N46" s="5">
        <f>N40*SIN(RADIANS(N45))+SQRT(N40^2-(N42-N43*TAN(RADIANS(N45))-N40*COS(RADIANS(N45)))^2)</f>
        <v>3.2574949532213657</v>
      </c>
      <c r="O46" s="5">
        <f>N40*SIN(RADIANS(O45))+SQRT(N40^2-(N42-N43*TAN(RADIANS(O45))-N40*COS(RADIANS(O45)))^2)</f>
        <v>3.2588944348670994</v>
      </c>
      <c r="P46" s="5">
        <f>P40*SIN(RADIANS(P45))+SQRT(P40^2-(P42-P43*TAN(RADIANS(P45))-P40*COS(RADIANS(P45)))^2)</f>
        <v>3.7854679890256095</v>
      </c>
      <c r="Q46" s="5">
        <f>P40*SIN(RADIANS(Q45))+SQRT(P40^2-(P42-P43*TAN(RADIANS(Q45))-P40*COS(RADIANS(Q45)))^2)</f>
        <v>3.787178617918841</v>
      </c>
      <c r="R46" s="5">
        <f>R40*SIN(RADIANS(R45))+SQRT(R40^2-(R42-R43*TAN(RADIANS(R45))-R40*COS(RADIANS(R45)))^2)</f>
        <v>4.30829622245389</v>
      </c>
      <c r="S46" s="5">
        <f>R40*SIN(RADIANS(S45))+SQRT(R40^2-(R42-R43*TAN(RADIANS(S45))-R40*COS(RADIANS(S45)))^2)</f>
        <v>4.310323933950432</v>
      </c>
      <c r="T46" s="5">
        <f>T40*SIN(RADIANS(T45))+SQRT(T40^2-(T42-T43*TAN(RADIANS(T45))-T40*COS(RADIANS(T45)))^2)</f>
        <v>4.8274673907239345</v>
      </c>
      <c r="U46" s="5">
        <f>T40*SIN(RADIANS(U45))+SQRT(T40^2-(T42-T43*TAN(RADIANS(U45))-T40*COS(RADIANS(U45)))^2)</f>
        <v>4.829816851263657</v>
      </c>
      <c r="V46" s="5">
        <f>V40*SIN(RADIANS(V45))+SQRT(V40^2-(V42-V43*TAN(RADIANS(V45))-V40*COS(RADIANS(V45)))^2)</f>
        <v>5.343934923279887</v>
      </c>
      <c r="W46" s="5">
        <f>V40*SIN(RADIANS(W45))+SQRT(V40^2-(V42-V43*TAN(RADIANS(W45))-V40*COS(RADIANS(W45)))^2)</f>
        <v>5.346609870192816</v>
      </c>
    </row>
    <row r="47" spans="1:23" ht="12.75">
      <c r="A47" s="4" t="s">
        <v>7</v>
      </c>
      <c r="B47" s="5">
        <f>DEGREES(ATAN(SQRT(B40^2-(B42-B43*TAN(RADIANS(B45))-B40*COS(RADIANS(B45)))^2)/(B42-B43*TAN(RADIANS(B45))-B40*COS(RADIANS(B45)))))</f>
        <v>-34.04768866207281</v>
      </c>
      <c r="C47" s="5">
        <f>DEGREES(ATAN(SQRT(B40^2-(B42-B43*TAN(RADIANS(C45))-B40*COS(RADIANS(C45)))^2)/(B42-B43*TAN(RADIANS(C45))-B40*COS(RADIANS(C45)))))</f>
        <v>-34.05595729543049</v>
      </c>
      <c r="D47" s="5">
        <f>DEGREES(ATAN(SQRT(D40^2-(D42-D43*TAN(RADIANS(D45))-D40*COS(RADIANS(D45)))^2)/(D42-D43*TAN(RADIANS(D45))-D40*COS(RADIANS(D45)))))</f>
        <v>-26.546511135801737</v>
      </c>
      <c r="E47" s="5">
        <f>DEGREES(ATAN(SQRT(D40^2-(D42-D43*TAN(RADIANS(E45))-D40*COS(RADIANS(E45)))^2)/(D42-D43*TAN(RADIANS(E45))-D40*COS(RADIANS(E45)))))</f>
        <v>-26.553545933150136</v>
      </c>
      <c r="F47" s="5">
        <f>DEGREES(ATAN(SQRT(F40^2-(F42-F43*TAN(RADIANS(F45))-F40*COS(RADIANS(F45)))^2)/(F42-F43*TAN(RADIANS(F45))-F40*COS(RADIANS(F45)))))</f>
        <v>-19.252982773426282</v>
      </c>
      <c r="G47" s="5">
        <f>DEGREES(ATAN(SQRT(F40^2-(F42-F43*TAN(RADIANS(G45))-F40*COS(RADIANS(G45)))^2)/(F42-F43*TAN(RADIANS(G45))-F40*COS(RADIANS(G45)))))</f>
        <v>-19.259138932780946</v>
      </c>
      <c r="H47" s="5">
        <f>DEGREES(ATAN(SQRT(H40^2-(H42-H43*TAN(RADIANS(H45))-H40*COS(RADIANS(H45)))^2)/(H42-H43*TAN(RADIANS(H45))-H40*COS(RADIANS(H45)))))</f>
        <v>-14.344903869335791</v>
      </c>
      <c r="I47" s="5">
        <f>DEGREES(ATAN(SQRT(H40^2-(H42-H43*TAN(RADIANS(I45))-H40*COS(RADIANS(I45)))^2)/(H42-H43*TAN(RADIANS(I45))-H40*COS(RADIANS(I45)))))</f>
        <v>-14.350848621175311</v>
      </c>
      <c r="J47" s="5">
        <f>DEGREES(ATAN(SQRT(J40^2-(J42-J43*TAN(RADIANS(J45))-J40*COS(RADIANS(J45)))^2)/(J42-J43*TAN(RADIANS(J45))-J40*COS(RADIANS(J45)))))</f>
        <v>-12.29292950416152</v>
      </c>
      <c r="K47" s="5">
        <f>DEGREES(ATAN(SQRT(J40^2-(J42-J43*TAN(RADIANS(K45))-J40*COS(RADIANS(K45)))^2)/(J42-J43*TAN(RADIANS(K45))-J40*COS(RADIANS(K45)))))</f>
        <v>-12.298975045901521</v>
      </c>
      <c r="L47" s="5">
        <f>DEGREES(ATAN(SQRT(L40^2-(L42-L43*TAN(RADIANS(L45))-L40*COS(RADIANS(L45)))^2)/(L42-L43*TAN(RADIANS(L45))-L40*COS(RADIANS(L45)))))</f>
        <v>-11.128477103206677</v>
      </c>
      <c r="M47" s="5">
        <f>DEGREES(ATAN(SQRT(L40^2-(L42-L43*TAN(RADIANS(M45))-L40*COS(RADIANS(M45)))^2)/(L42-L43*TAN(RADIANS(M45))-L40*COS(RADIANS(M45)))))</f>
        <v>-11.134664834506717</v>
      </c>
      <c r="N47" s="5">
        <f>DEGREES(ATAN(SQRT(N40^2-(N42-N43*TAN(RADIANS(N45))-N40*COS(RADIANS(N45)))^2)/(N42-N43*TAN(RADIANS(N45))-N40*COS(RADIANS(N45)))))</f>
        <v>-10.368089981830872</v>
      </c>
      <c r="O47" s="5">
        <f>DEGREES(ATAN(SQRT(N40^2-(N42-N43*TAN(RADIANS(O45))-N40*COS(RADIANS(O45)))^2)/(N42-N43*TAN(RADIANS(O45))-N40*COS(RADIANS(O45)))))</f>
        <v>-10.374416367230424</v>
      </c>
      <c r="P47" s="5">
        <f>DEGREES(ATAN(SQRT(P40^2-(P42-P43*TAN(RADIANS(P45))-P40*COS(RADIANS(P45)))^2)/(P42-P43*TAN(RADIANS(P45))-P40*COS(RADIANS(P45)))))</f>
        <v>-9.828921400151842</v>
      </c>
      <c r="Q47" s="5">
        <f>DEGREES(ATAN(SQRT(P40^2-(P42-P43*TAN(RADIANS(Q45))-P40*COS(RADIANS(Q45)))^2)/(P42-P43*TAN(RADIANS(Q45))-P40*COS(RADIANS(Q45)))))</f>
        <v>-9.835373482094832</v>
      </c>
      <c r="R47" s="5">
        <f>DEGREES(ATAN(SQRT(R40^2-(R42-R43*TAN(RADIANS(R45))-R40*COS(RADIANS(R45)))^2)/(R42-R43*TAN(RADIANS(R45))-R40*COS(RADIANS(R45)))))</f>
        <v>-9.425131623586159</v>
      </c>
      <c r="S47" s="5">
        <f>DEGREES(ATAN(SQRT(R40^2-(R42-R43*TAN(RADIANS(S45))-R40*COS(RADIANS(S45)))^2)/(R42-R43*TAN(RADIANS(S45))-R40*COS(RADIANS(S45)))))</f>
        <v>-9.431695392357446</v>
      </c>
      <c r="T47" s="5">
        <f>DEGREES(ATAN(SQRT(T40^2-(T42-T43*TAN(RADIANS(T45))-T40*COS(RADIANS(T45)))^2)/(T42-T43*TAN(RADIANS(T45))-T40*COS(RADIANS(T45)))))</f>
        <v>-9.110663019399768</v>
      </c>
      <c r="U47" s="5">
        <f>DEGREES(ATAN(SQRT(T40^2-(T42-T43*TAN(RADIANS(U45))-T40*COS(RADIANS(U45)))^2)/(T42-T43*TAN(RADIANS(U45))-T40*COS(RADIANS(U45)))))</f>
        <v>-9.117325609992545</v>
      </c>
      <c r="V47" s="5">
        <f>DEGREES(ATAN(SQRT(V40^2-(V42-V43*TAN(RADIANS(V45))-V40*COS(RADIANS(V45)))^2)/(V42-V43*TAN(RADIANS(V45))-V40*COS(RADIANS(V45)))))</f>
        <v>-8.858429107241932</v>
      </c>
      <c r="W47" s="5">
        <f>DEGREES(ATAN(SQRT(V40^2-(V42-V43*TAN(RADIANS(W45))-V40*COS(RADIANS(W45)))^2)/(V42-V43*TAN(RADIANS(W45))-V40*COS(RADIANS(W45)))))</f>
        <v>-8.865179272999645</v>
      </c>
    </row>
    <row r="48" spans="1:23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.75">
      <c r="A49" s="4" t="s">
        <v>8</v>
      </c>
      <c r="B49" s="5">
        <f>SIN(RADIANS(B41))^2*(C46-B46)/RADIANS(C47-B47)</f>
        <v>-0.19825700534720322</v>
      </c>
      <c r="C49" s="5"/>
      <c r="D49" s="5">
        <f>SIN(RADIANS(D41))^2*(E46-D46)/RADIANS(E47-D47)</f>
        <v>-0.2298757092266247</v>
      </c>
      <c r="E49" s="5"/>
      <c r="F49" s="5">
        <f>SIN(RADIANS(F41))^2*(G46-F46)/RADIANS(G47-F47)</f>
        <v>-0.26709688141112703</v>
      </c>
      <c r="G49" s="5"/>
      <c r="H49" s="5">
        <f>SIN(RADIANS(H41))^2*(I46-H46)/RADIANS(I47-H47)</f>
        <v>-0.3099065480419595</v>
      </c>
      <c r="I49" s="5"/>
      <c r="J49" s="5">
        <f>SIN(RADIANS(J41))^2*(K46-J46)/RADIANS(K47-J47)</f>
        <v>-0.3449380748260803</v>
      </c>
      <c r="K49" s="5"/>
      <c r="L49" s="5">
        <f>SIN(RADIANS(L41))^2*(M46-L46)/RADIANS(M47-L47)</f>
        <v>-0.3780763182064443</v>
      </c>
      <c r="M49" s="5"/>
      <c r="N49" s="5">
        <f>SIN(RADIANS(N41))^2*(O46-N46)/RADIANS(O47-N47)</f>
        <v>-0.41052617816169135</v>
      </c>
      <c r="O49" s="5"/>
      <c r="P49" s="5">
        <f>SIN(RADIANS(P41))^2*(Q46-P46)/RADIANS(Q47-P47)</f>
        <v>-0.4426705583580163</v>
      </c>
      <c r="Q49" s="5"/>
      <c r="R49" s="5">
        <f>SIN(RADIANS(R41))^2*(S46-R46)/RADIANS(S47-R47)</f>
        <v>-0.4746617255317777</v>
      </c>
      <c r="S49" s="5"/>
      <c r="T49" s="5">
        <f>SIN(RADIANS(T41))^2*(U46-T46)/RADIANS(U47-T47)</f>
        <v>-0.5065694132719211</v>
      </c>
      <c r="U49" s="5"/>
      <c r="V49" s="5">
        <f>SIN(RADIANS(V41))^2*(W46-V46)/RADIANS(W47-V47)</f>
        <v>-0.5384288531830124</v>
      </c>
      <c r="W49" s="5"/>
    </row>
    <row r="50" spans="1:23" ht="12.75">
      <c r="A50" s="13" t="s">
        <v>23</v>
      </c>
      <c r="B50" s="7">
        <f>B46+B49/TAN(RADIANS(B47))</f>
        <v>0.7421250028275317</v>
      </c>
      <c r="C50" s="7"/>
      <c r="D50" s="7">
        <f>D46+D49/TAN(RADIANS(D47))</f>
        <v>1.0824873172018405</v>
      </c>
      <c r="E50" s="7"/>
      <c r="F50" s="7">
        <f>F46+F49/TAN(RADIANS(F47))</f>
        <v>1.7490378958231623</v>
      </c>
      <c r="G50" s="7"/>
      <c r="H50" s="7">
        <f>H46+H49/TAN(RADIANS(H47))</f>
        <v>2.816116665776203</v>
      </c>
      <c r="I50" s="7"/>
      <c r="J50" s="7">
        <f>J46+J49/TAN(RADIANS(J47))</f>
        <v>3.757054205672848</v>
      </c>
      <c r="K50" s="7"/>
      <c r="L50" s="7">
        <f>L46+L49/TAN(RADIANS(L47))</f>
        <v>4.643906341534598</v>
      </c>
      <c r="M50" s="7"/>
      <c r="N50" s="7">
        <f>N46+N49/TAN(RADIANS(N47))</f>
        <v>5.501313693345644</v>
      </c>
      <c r="O50" s="7"/>
      <c r="P50" s="7">
        <f>P46+P49/TAN(RADIANS(P47))</f>
        <v>6.340566894202402</v>
      </c>
      <c r="Q50" s="7"/>
      <c r="R50" s="7">
        <f>R46+R49/TAN(RADIANS(R47))</f>
        <v>7.167710924043121</v>
      </c>
      <c r="S50" s="7"/>
      <c r="T50" s="7">
        <f>T46+T49/TAN(RADIANS(T47))</f>
        <v>7.986321392416887</v>
      </c>
      <c r="U50" s="7"/>
      <c r="V50" s="7">
        <f>V46+V49/TAN(RADIANS(V47))</f>
        <v>8.798667000897144</v>
      </c>
      <c r="W50" s="7"/>
    </row>
    <row r="53" spans="2:4" ht="12.75">
      <c r="B53" t="s">
        <v>30</v>
      </c>
      <c r="D53" t="s">
        <v>31</v>
      </c>
    </row>
    <row r="54" spans="1:5" ht="12.75">
      <c r="A54" s="14" t="s">
        <v>24</v>
      </c>
      <c r="B54" s="14" t="s">
        <v>25</v>
      </c>
      <c r="C54" s="14" t="s">
        <v>26</v>
      </c>
      <c r="D54" s="14" t="s">
        <v>27</v>
      </c>
      <c r="E54" s="14" t="s">
        <v>28</v>
      </c>
    </row>
    <row r="55" spans="1:5" ht="12.75">
      <c r="A55" s="15" t="s">
        <v>39</v>
      </c>
      <c r="B55" s="15" t="s">
        <v>35</v>
      </c>
      <c r="C55" s="15" t="s">
        <v>35</v>
      </c>
      <c r="D55" s="15" t="s">
        <v>35</v>
      </c>
      <c r="E55" s="15" t="s">
        <v>35</v>
      </c>
    </row>
    <row r="56" spans="1:5" ht="12.75">
      <c r="A56">
        <f>B39</f>
        <v>0.3</v>
      </c>
      <c r="B56" s="16">
        <f>B49</f>
        <v>-0.19825700534720322</v>
      </c>
      <c r="C56" s="16">
        <f>B50</f>
        <v>0.7421250028275317</v>
      </c>
      <c r="D56" s="16">
        <f>(B56-'point-point model'!B$20)*COS(RADIANS('point-point model'!B$16))-(C56-'point-point model'!B$21)*SIN(RADIANS('point-point model'!B$16))</f>
        <v>-0.39028642016572185</v>
      </c>
      <c r="E56" s="16">
        <f>(B56-'point-point model'!B$20)*SIN(RADIANS('point-point model'!B$16))+(C56-'point-point model'!B$21)*COS(RADIANS('point-point model'!B$16))</f>
        <v>3.862458832531569</v>
      </c>
    </row>
    <row r="57" spans="1:5" ht="12.75">
      <c r="A57">
        <f>D39</f>
        <v>0.5</v>
      </c>
      <c r="B57" s="16">
        <f>D49</f>
        <v>-0.2298757092266247</v>
      </c>
      <c r="C57" s="16">
        <f>D50</f>
        <v>1.0824873172018405</v>
      </c>
      <c r="D57" s="16">
        <f>(B57-'point-point model'!B$20)*COS(RADIANS('point-point model'!B$16))-(C57-'point-point model'!B$21)*SIN(RADIANS('point-point model'!B$16))</f>
        <v>-0.4602319822859416</v>
      </c>
      <c r="E57" s="16">
        <f>(B57-'point-point model'!B$20)*SIN(RADIANS('point-point model'!B$16))+(C57-'point-point model'!B$21)*COS(RADIANS('point-point model'!B$16))</f>
        <v>4.197053909932503</v>
      </c>
    </row>
    <row r="58" spans="1:5" ht="12.75">
      <c r="A58" s="1">
        <f>F39</f>
        <v>1</v>
      </c>
      <c r="B58" s="16">
        <f>F49</f>
        <v>-0.26709688141112703</v>
      </c>
      <c r="C58" s="16">
        <f>F50</f>
        <v>1.7490378958231623</v>
      </c>
      <c r="D58" s="16">
        <f>(B58-'point-point model'!B$20)*COS(RADIANS('point-point model'!B$16))-(C58-'point-point model'!B$21)*SIN(RADIANS('point-point model'!B$16))</f>
        <v>-0.5726695590425467</v>
      </c>
      <c r="E58" s="16">
        <f>(B58-'point-point model'!B$20)*SIN(RADIANS('point-point model'!B$16))+(C58-'point-point model'!B$21)*COS(RADIANS('point-point model'!B$16))</f>
        <v>4.855106248924098</v>
      </c>
    </row>
    <row r="59" spans="1:5" ht="12.75">
      <c r="A59" s="10">
        <f>H39</f>
        <v>2</v>
      </c>
      <c r="B59" s="17">
        <f>H49</f>
        <v>-0.3099065480419595</v>
      </c>
      <c r="C59" s="17">
        <f>H50</f>
        <v>2.816116665776203</v>
      </c>
      <c r="D59" s="16">
        <f>(B59-'point-point model'!B$20)*COS(RADIANS('point-point model'!B$16))-(C59-'point-point model'!B$21)*SIN(RADIANS('point-point model'!B$16))</f>
        <v>-0.736000785060028</v>
      </c>
      <c r="E59" s="16">
        <f>(B59-'point-point model'!B$20)*SIN(RADIANS('point-point model'!B$16))+(C59-'point-point model'!B$21)*COS(RADIANS('point-point model'!B$16))</f>
        <v>5.910479490696488</v>
      </c>
    </row>
    <row r="60" spans="1:5" ht="12.75">
      <c r="A60" s="1">
        <f>J39</f>
        <v>3</v>
      </c>
      <c r="B60" s="17">
        <f>J49</f>
        <v>-0.3449380748260803</v>
      </c>
      <c r="C60" s="17">
        <f>J50</f>
        <v>3.757054205672848</v>
      </c>
      <c r="D60" s="16">
        <f>(B60-'point-point model'!B$20)*COS(RADIANS('point-point model'!B$16))-(C60-'point-point model'!B$21)*SIN(RADIANS('point-point model'!B$16))</f>
        <v>-0.8773242776052792</v>
      </c>
      <c r="E60" s="16">
        <f>(B60-'point-point model'!B$20)*SIN(RADIANS('point-point model'!B$16))+(C60-'point-point model'!B$21)*COS(RADIANS('point-point model'!B$16))</f>
        <v>6.841402866872202</v>
      </c>
    </row>
    <row r="61" spans="1:5" ht="12.75">
      <c r="A61" s="10">
        <f>L39</f>
        <v>4</v>
      </c>
      <c r="B61" s="18">
        <f>L49</f>
        <v>-0.3780763182064443</v>
      </c>
      <c r="C61" s="18">
        <f>L50</f>
        <v>4.643906341534598</v>
      </c>
      <c r="D61" s="16">
        <f>(B61-'point-point model'!B$20)*COS(RADIANS('point-point model'!B$16))-(C61-'point-point model'!B$21)*SIN(RADIANS('point-point model'!B$16))</f>
        <v>-1.010644015491052</v>
      </c>
      <c r="E61" s="16">
        <f>(B61-'point-point model'!B$20)*SIN(RADIANS('point-point model'!B$16))+(C61-'point-point model'!B$21)*COS(RADIANS('point-point model'!B$16))</f>
        <v>7.718802833561827</v>
      </c>
    </row>
    <row r="62" spans="1:5" ht="12.75">
      <c r="A62" s="1">
        <f>N39</f>
        <v>5</v>
      </c>
      <c r="B62" s="17">
        <f>N49</f>
        <v>-0.41052617816169135</v>
      </c>
      <c r="C62" s="18">
        <f>N50</f>
        <v>5.501313693345644</v>
      </c>
      <c r="D62" s="16">
        <f>(B62-'point-point model'!B$20)*COS(RADIANS('point-point model'!B$16))-(C62-'point-point model'!B$21)*SIN(RADIANS('point-point model'!B$16))</f>
        <v>-1.139946550796473</v>
      </c>
      <c r="E62" s="16">
        <f>(B62-'point-point model'!B$20)*SIN(RADIANS('point-point model'!B$16))+(C62-'point-point model'!B$21)*COS(RADIANS('point-point model'!B$16))</f>
        <v>8.567025218738221</v>
      </c>
    </row>
    <row r="63" spans="1:5" ht="12.75">
      <c r="A63" s="10">
        <f>P39</f>
        <v>6</v>
      </c>
      <c r="B63" s="17">
        <f>P49</f>
        <v>-0.4426705583580163</v>
      </c>
      <c r="C63" s="17">
        <f>P50</f>
        <v>6.340566894202402</v>
      </c>
      <c r="D63" s="16">
        <f>(B63-'point-point model'!B$20)*COS(RADIANS('point-point model'!B$16))-(C63-'point-point model'!B$21)*SIN(RADIANS('point-point model'!B$16))</f>
        <v>-1.2668904617796968</v>
      </c>
      <c r="E63" s="16">
        <f>(B63-'point-point model'!B$20)*SIN(RADIANS('point-point model'!B$16))+(C63-'point-point model'!B$21)*COS(RADIANS('point-point model'!B$16))</f>
        <v>9.397244731753187</v>
      </c>
    </row>
    <row r="64" spans="1:5" ht="12.75">
      <c r="A64" s="1">
        <f>R39</f>
        <v>7</v>
      </c>
      <c r="B64" s="18">
        <f>R49</f>
        <v>-0.4746617255317777</v>
      </c>
      <c r="C64" s="18">
        <f>R50</f>
        <v>7.167710924043121</v>
      </c>
      <c r="D64" s="16">
        <f>(B64-'point-point model'!B$20)*COS(RADIANS('point-point model'!B$16))-(C64-'point-point model'!B$21)*SIN(RADIANS('point-point model'!B$16))</f>
        <v>-1.3923113475406974</v>
      </c>
      <c r="E64" s="16">
        <f>(B64-'point-point model'!B$20)*SIN(RADIANS('point-point model'!B$16))+(C64-'point-point model'!B$21)*COS(RADIANS('point-point model'!B$16))</f>
        <v>10.215450257457583</v>
      </c>
    </row>
    <row r="65" spans="1:5" ht="12.75">
      <c r="A65" s="10">
        <f>T39</f>
        <v>8</v>
      </c>
      <c r="B65" s="17">
        <f>T49</f>
        <v>-0.5065694132719211</v>
      </c>
      <c r="C65" s="18">
        <f>T50</f>
        <v>7.986321392416887</v>
      </c>
      <c r="D65" s="16">
        <f>(B65-'point-point model'!B$20)*COS(RADIANS('point-point model'!B$16))-(C65-'point-point model'!B$21)*SIN(RADIANS('point-point model'!B$16))</f>
        <v>-1.5166832639029826</v>
      </c>
      <c r="E65" s="16">
        <f>(B65-'point-point model'!B$20)*SIN(RADIANS('point-point model'!B$16))+(C65-'point-point model'!B$21)*COS(RADIANS('point-point model'!B$16))</f>
        <v>11.0251865267999</v>
      </c>
    </row>
    <row r="66" spans="1:5" ht="12.75">
      <c r="A66" s="1">
        <f>V39</f>
        <v>9</v>
      </c>
      <c r="B66" s="17">
        <f>V49</f>
        <v>-0.5384288531830124</v>
      </c>
      <c r="C66" s="17">
        <f>V50</f>
        <v>8.798667000897144</v>
      </c>
      <c r="D66" s="16">
        <f>(B66-'point-point model'!B$20)*COS(RADIANS('point-point model'!B$16))-(C66-'point-point model'!B$21)*SIN(RADIANS('point-point model'!B$16))</f>
        <v>-1.640298040306473</v>
      </c>
      <c r="E66" s="16">
        <f>(B66-'point-point model'!B$20)*SIN(RADIANS('point-point model'!B$16))+(C66-'point-point model'!B$21)*COS(RADIANS('point-point model'!B$16))</f>
        <v>11.828703669481573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37">
      <selection activeCell="F63" sqref="F63"/>
    </sheetView>
  </sheetViews>
  <sheetFormatPr defaultColWidth="9.140625" defaultRowHeight="12.75"/>
  <cols>
    <col min="1" max="1" width="15.57421875" style="0" customWidth="1"/>
    <col min="3" max="3" width="9.421875" style="0" bestFit="1" customWidth="1"/>
  </cols>
  <sheetData>
    <row r="1" ht="12.75">
      <c r="A1" t="s">
        <v>57</v>
      </c>
    </row>
    <row r="2" spans="1:2" ht="12.75">
      <c r="A2" t="s">
        <v>58</v>
      </c>
      <c r="B2" t="s">
        <v>59</v>
      </c>
    </row>
    <row r="3" ht="12.75">
      <c r="B3" t="s">
        <v>60</v>
      </c>
    </row>
    <row r="4" ht="12.75">
      <c r="B4" t="s">
        <v>61</v>
      </c>
    </row>
    <row r="5" ht="12.75">
      <c r="B5" t="s">
        <v>62</v>
      </c>
    </row>
    <row r="6" ht="12.75">
      <c r="B6" t="s">
        <v>63</v>
      </c>
    </row>
    <row r="8" ht="12.75">
      <c r="A8" s="51" t="s">
        <v>99</v>
      </c>
    </row>
    <row r="9" spans="1:10" ht="12.75">
      <c r="A9" s="39" t="s">
        <v>13</v>
      </c>
      <c r="B9" s="40">
        <f>results!B2</f>
        <v>12</v>
      </c>
      <c r="C9" s="40" t="s">
        <v>14</v>
      </c>
      <c r="D9" s="41" t="s">
        <v>53</v>
      </c>
      <c r="E9" s="42"/>
      <c r="F9" s="42"/>
      <c r="G9" s="42"/>
      <c r="H9" s="42"/>
      <c r="I9" s="42"/>
      <c r="J9" s="43"/>
    </row>
    <row r="10" spans="1:10" ht="12.75">
      <c r="A10" s="44" t="s">
        <v>9</v>
      </c>
      <c r="B10" s="45">
        <f>results!B3</f>
        <v>1.5</v>
      </c>
      <c r="C10" s="45" t="s">
        <v>10</v>
      </c>
      <c r="D10" s="46" t="s">
        <v>11</v>
      </c>
      <c r="E10" s="47"/>
      <c r="F10" s="47"/>
      <c r="G10" s="47"/>
      <c r="H10" s="47"/>
      <c r="I10" s="47"/>
      <c r="J10" s="48"/>
    </row>
    <row r="11" spans="1:10" ht="12.75">
      <c r="A11" s="44" t="s">
        <v>65</v>
      </c>
      <c r="B11" s="50">
        <f>results!$B$4</f>
        <v>-4.7</v>
      </c>
      <c r="C11" s="45" t="s">
        <v>66</v>
      </c>
      <c r="D11" s="46" t="s">
        <v>67</v>
      </c>
      <c r="E11" s="47"/>
      <c r="F11" s="47"/>
      <c r="G11" s="47"/>
      <c r="H11" s="47"/>
      <c r="I11" s="47"/>
      <c r="J11" s="48"/>
    </row>
    <row r="12" spans="1:10" ht="12.75">
      <c r="A12" s="44" t="s">
        <v>43</v>
      </c>
      <c r="B12" s="49">
        <f>results!B5</f>
        <v>0.41</v>
      </c>
      <c r="C12" s="45" t="s">
        <v>0</v>
      </c>
      <c r="D12" s="46" t="s">
        <v>44</v>
      </c>
      <c r="E12" s="47"/>
      <c r="F12" s="47"/>
      <c r="G12" s="47"/>
      <c r="H12" s="47"/>
      <c r="I12" s="47"/>
      <c r="J12" s="48"/>
    </row>
    <row r="13" spans="1:10" ht="12.75">
      <c r="A13" s="44" t="s">
        <v>42</v>
      </c>
      <c r="B13" s="49">
        <f>results!B6</f>
        <v>6</v>
      </c>
      <c r="C13" s="45" t="s">
        <v>0</v>
      </c>
      <c r="D13" s="46" t="s">
        <v>45</v>
      </c>
      <c r="E13" s="47"/>
      <c r="F13" s="47"/>
      <c r="G13" s="47"/>
      <c r="H13" s="47"/>
      <c r="I13" s="47"/>
      <c r="J13" s="48"/>
    </row>
    <row r="14" spans="1:10" ht="12.75">
      <c r="A14" s="44" t="s">
        <v>18</v>
      </c>
      <c r="B14" s="49">
        <f>results!B7</f>
        <v>3.16</v>
      </c>
      <c r="C14" s="45" t="s">
        <v>0</v>
      </c>
      <c r="D14" s="46" t="s">
        <v>19</v>
      </c>
      <c r="E14" s="47"/>
      <c r="F14" s="47"/>
      <c r="G14" s="47"/>
      <c r="H14" s="47"/>
      <c r="I14" s="47"/>
      <c r="J14" s="48"/>
    </row>
    <row r="15" spans="1:10" ht="12.75">
      <c r="A15" s="44" t="s">
        <v>20</v>
      </c>
      <c r="B15" s="49">
        <f>results!B8</f>
        <v>0.11</v>
      </c>
      <c r="C15" s="45" t="s">
        <v>0</v>
      </c>
      <c r="D15" s="46" t="s">
        <v>21</v>
      </c>
      <c r="E15" s="47"/>
      <c r="F15" s="47"/>
      <c r="G15" s="47"/>
      <c r="H15" s="47"/>
      <c r="I15" s="47"/>
      <c r="J15" s="48"/>
    </row>
    <row r="16" spans="1:10" ht="12.75">
      <c r="A16" s="44" t="s">
        <v>22</v>
      </c>
      <c r="B16" s="49">
        <f>results!B9</f>
        <v>6.5</v>
      </c>
      <c r="C16" s="45" t="s">
        <v>1</v>
      </c>
      <c r="D16" s="46" t="s">
        <v>55</v>
      </c>
      <c r="E16" s="47"/>
      <c r="F16" s="47"/>
      <c r="G16" s="47"/>
      <c r="H16" s="47"/>
      <c r="I16" s="47"/>
      <c r="J16" s="48"/>
    </row>
    <row r="17" spans="1:10" ht="12.75">
      <c r="A17" s="44" t="s">
        <v>71</v>
      </c>
      <c r="B17" s="49">
        <f>results!B10</f>
        <v>0.7</v>
      </c>
      <c r="C17" s="45" t="s">
        <v>0</v>
      </c>
      <c r="D17" s="46" t="s">
        <v>69</v>
      </c>
      <c r="E17" s="47"/>
      <c r="F17" s="47"/>
      <c r="G17" s="47"/>
      <c r="H17" s="47"/>
      <c r="I17" s="47"/>
      <c r="J17" s="48"/>
    </row>
    <row r="18" spans="1:10" ht="12.75">
      <c r="A18" s="44" t="s">
        <v>72</v>
      </c>
      <c r="B18" s="49">
        <f>results!B11</f>
        <v>0.4</v>
      </c>
      <c r="C18" s="45" t="s">
        <v>0</v>
      </c>
      <c r="D18" s="46" t="s">
        <v>70</v>
      </c>
      <c r="E18" s="47"/>
      <c r="F18" s="47"/>
      <c r="G18" s="47"/>
      <c r="H18" s="47"/>
      <c r="I18" s="47"/>
      <c r="J18" s="48"/>
    </row>
    <row r="19" spans="1:10" ht="12.75">
      <c r="A19" s="28" t="s">
        <v>2</v>
      </c>
      <c r="B19" s="29">
        <f>B9/(0.3*B10)</f>
        <v>26.666666666666668</v>
      </c>
      <c r="C19" s="30" t="s">
        <v>0</v>
      </c>
      <c r="D19" s="12" t="s">
        <v>12</v>
      </c>
      <c r="E19" s="12"/>
      <c r="F19" s="12"/>
      <c r="G19" s="12"/>
      <c r="H19" s="12"/>
      <c r="I19" s="12"/>
      <c r="J19" s="27"/>
    </row>
    <row r="20" spans="1:10" ht="12.75">
      <c r="A20" s="4" t="s">
        <v>3</v>
      </c>
      <c r="B20" s="9">
        <f>B15-B14*SIN(RADIANS(B16))</f>
        <v>-0.24772215550658527</v>
      </c>
      <c r="C20" s="12" t="s">
        <v>0</v>
      </c>
      <c r="D20" s="12" t="s">
        <v>15</v>
      </c>
      <c r="E20" s="5"/>
      <c r="F20" s="5"/>
      <c r="G20" s="5"/>
      <c r="H20" s="5"/>
      <c r="I20" s="5"/>
      <c r="J20" s="6"/>
    </row>
    <row r="21" spans="1:10" ht="12.75">
      <c r="A21" s="4" t="s">
        <v>4</v>
      </c>
      <c r="B21" s="9">
        <f>-B14*COS(RADIANS(B16))</f>
        <v>-3.1396870639380166</v>
      </c>
      <c r="C21" s="12" t="s">
        <v>0</v>
      </c>
      <c r="D21" s="12" t="s">
        <v>16</v>
      </c>
      <c r="E21" s="5"/>
      <c r="F21" s="5"/>
      <c r="G21" s="5"/>
      <c r="H21" s="5"/>
      <c r="I21" s="5"/>
      <c r="J21" s="6"/>
    </row>
    <row r="22" spans="1:10" ht="12.75">
      <c r="A22" s="4" t="s">
        <v>46</v>
      </c>
      <c r="B22" s="9">
        <f>B20+TAN(RADIANS(B16))*(B23-B21)</f>
        <v>0.10999999999999999</v>
      </c>
      <c r="C22" s="12" t="s">
        <v>0</v>
      </c>
      <c r="D22" s="12" t="s">
        <v>50</v>
      </c>
      <c r="E22" s="5"/>
      <c r="F22" s="5"/>
      <c r="G22" s="5"/>
      <c r="H22" s="5"/>
      <c r="I22" s="5"/>
      <c r="J22" s="6"/>
    </row>
    <row r="23" spans="1:10" ht="12.75">
      <c r="A23" s="4" t="s">
        <v>47</v>
      </c>
      <c r="B23" s="9">
        <v>0</v>
      </c>
      <c r="C23" s="12" t="s">
        <v>0</v>
      </c>
      <c r="D23" s="12" t="s">
        <v>51</v>
      </c>
      <c r="E23" s="5"/>
      <c r="F23" s="5"/>
      <c r="G23" s="5"/>
      <c r="H23" s="5"/>
      <c r="I23" s="5"/>
      <c r="J23" s="6"/>
    </row>
    <row r="24" spans="1:10" ht="12.75">
      <c r="A24" s="4" t="s">
        <v>48</v>
      </c>
      <c r="B24" s="9">
        <f>B22-B19*COS(RADIANS(B16))+SQRT(B19^2-(B25-B23-B19*SIN(RADIANS(B16)))^2)</f>
        <v>0.11424623997796601</v>
      </c>
      <c r="C24" s="12" t="s">
        <v>0</v>
      </c>
      <c r="D24" s="12" t="s">
        <v>54</v>
      </c>
      <c r="E24" s="5"/>
      <c r="F24" s="5"/>
      <c r="G24" s="5"/>
      <c r="H24" s="5"/>
      <c r="I24" s="5"/>
      <c r="J24" s="6"/>
    </row>
    <row r="25" spans="1:10" ht="12.75">
      <c r="A25" s="4" t="s">
        <v>49</v>
      </c>
      <c r="B25" s="9">
        <f>B13</f>
        <v>6</v>
      </c>
      <c r="C25" s="12" t="s">
        <v>0</v>
      </c>
      <c r="D25" s="12" t="s">
        <v>52</v>
      </c>
      <c r="E25" s="5"/>
      <c r="F25" s="5"/>
      <c r="G25" s="5"/>
      <c r="H25" s="5"/>
      <c r="I25" s="5"/>
      <c r="J25" s="6"/>
    </row>
    <row r="26" spans="1:10" ht="12.75">
      <c r="A26" s="4" t="s">
        <v>5</v>
      </c>
      <c r="B26" s="9">
        <f>DEGREES(ATAN(SQRT(B19^2-(B20-B21*TAN(RADIANS(B16))-B19*COS(RADIANS(B16)))^2)/(B20-B21*TAN(RADIANS(B16))-B19*COS(RADIANS(B16)))))</f>
        <v>-8.331270610192398</v>
      </c>
      <c r="C26" s="5" t="s">
        <v>1</v>
      </c>
      <c r="D26" s="5" t="s">
        <v>56</v>
      </c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 t="s">
        <v>80</v>
      </c>
      <c r="B28" s="17">
        <f>B17</f>
        <v>0.7</v>
      </c>
      <c r="C28" s="17" t="s">
        <v>0</v>
      </c>
      <c r="D28" s="17" t="s">
        <v>81</v>
      </c>
      <c r="E28" s="17"/>
      <c r="F28" s="17"/>
      <c r="G28" s="17"/>
      <c r="H28" s="17"/>
      <c r="I28" s="17"/>
      <c r="J28" s="34"/>
    </row>
    <row r="29" spans="1:10" ht="12.75">
      <c r="A29" s="4" t="s">
        <v>82</v>
      </c>
      <c r="B29" s="9">
        <f>B14-B28</f>
        <v>2.46</v>
      </c>
      <c r="C29" s="12" t="s">
        <v>0</v>
      </c>
      <c r="D29" s="12" t="s">
        <v>83</v>
      </c>
      <c r="E29" s="5"/>
      <c r="F29" s="5"/>
      <c r="G29" s="5"/>
      <c r="H29" s="5"/>
      <c r="I29" s="5"/>
      <c r="J29" s="6"/>
    </row>
    <row r="30" spans="1:10" ht="12.75">
      <c r="A30" s="4" t="s">
        <v>84</v>
      </c>
      <c r="B30" s="9">
        <f>B19*RADIANS(B16-B26)</f>
        <v>6.902786784056689</v>
      </c>
      <c r="C30" s="12" t="s">
        <v>0</v>
      </c>
      <c r="D30" s="12" t="s">
        <v>85</v>
      </c>
      <c r="E30" s="5"/>
      <c r="F30" s="5"/>
      <c r="G30" s="5"/>
      <c r="H30" s="5"/>
      <c r="I30" s="5"/>
      <c r="J30" s="6"/>
    </row>
    <row r="31" spans="1:10" ht="12.75">
      <c r="A31" s="4" t="s">
        <v>86</v>
      </c>
      <c r="B31" s="9">
        <f>-B9/(300000000*0.000000001*B11*B18)</f>
        <v>21.276595744680844</v>
      </c>
      <c r="C31" s="12" t="s">
        <v>0</v>
      </c>
      <c r="D31" s="12" t="s">
        <v>89</v>
      </c>
      <c r="E31" s="5"/>
      <c r="F31" s="5"/>
      <c r="G31" s="5"/>
      <c r="H31" s="5"/>
      <c r="I31" s="5"/>
      <c r="J31" s="6"/>
    </row>
    <row r="32" spans="1:10" ht="12.75">
      <c r="A32" s="4" t="s">
        <v>87</v>
      </c>
      <c r="B32" s="35">
        <f>B9/(300000000*0.000000001*B10*TAN(RADIANS(B16)))</f>
        <v>234.05032951653214</v>
      </c>
      <c r="C32" s="12" t="s">
        <v>0</v>
      </c>
      <c r="D32" s="12" t="s">
        <v>90</v>
      </c>
      <c r="E32" s="5"/>
      <c r="F32" s="5"/>
      <c r="G32" s="5"/>
      <c r="H32" s="5"/>
      <c r="I32" s="5"/>
      <c r="J32" s="6"/>
    </row>
    <row r="33" spans="1:10" ht="12.75">
      <c r="A33" s="13" t="s">
        <v>88</v>
      </c>
      <c r="B33" s="37">
        <f>B9/(300000000*0.000000001*B10/TAN(RADIANS(B26)))</f>
        <v>-3.905110879181916</v>
      </c>
      <c r="C33" s="7" t="s">
        <v>0</v>
      </c>
      <c r="D33" s="7" t="s">
        <v>91</v>
      </c>
      <c r="E33" s="7"/>
      <c r="F33" s="7"/>
      <c r="G33" s="7"/>
      <c r="H33" s="7"/>
      <c r="I33" s="7"/>
      <c r="J33" s="8"/>
    </row>
    <row r="36" ht="12.75">
      <c r="A36" s="19" t="s">
        <v>29</v>
      </c>
    </row>
    <row r="39" spans="1:23" ht="12.75">
      <c r="A39" s="2" t="s">
        <v>13</v>
      </c>
      <c r="B39" s="3">
        <v>2.9</v>
      </c>
      <c r="C39" s="3" t="s">
        <v>14</v>
      </c>
      <c r="D39" s="3">
        <v>3</v>
      </c>
      <c r="E39" s="3" t="s">
        <v>14</v>
      </c>
      <c r="F39" s="3">
        <v>3.1</v>
      </c>
      <c r="G39" s="3" t="s">
        <v>14</v>
      </c>
      <c r="H39" s="3">
        <v>3.2</v>
      </c>
      <c r="I39" s="3" t="s">
        <v>14</v>
      </c>
      <c r="J39" s="3">
        <v>3.3</v>
      </c>
      <c r="K39" s="3" t="s">
        <v>14</v>
      </c>
      <c r="L39" s="3">
        <v>3.4</v>
      </c>
      <c r="M39" s="3" t="s">
        <v>14</v>
      </c>
      <c r="N39" s="3">
        <v>3.5</v>
      </c>
      <c r="O39" s="3" t="s">
        <v>14</v>
      </c>
      <c r="P39" s="3">
        <v>3.6</v>
      </c>
      <c r="Q39" s="3" t="s">
        <v>14</v>
      </c>
      <c r="R39" s="3">
        <v>3.7</v>
      </c>
      <c r="S39" s="3" t="s">
        <v>14</v>
      </c>
      <c r="T39" s="3">
        <v>3.8</v>
      </c>
      <c r="U39" s="3" t="s">
        <v>14</v>
      </c>
      <c r="V39" s="3">
        <v>3.9</v>
      </c>
      <c r="W39" s="3" t="s">
        <v>14</v>
      </c>
    </row>
    <row r="40" spans="1:23" ht="12.75">
      <c r="A40" s="4" t="s">
        <v>2</v>
      </c>
      <c r="B40" s="9">
        <f>B39/(0.3*$B$10)</f>
        <v>6.444444444444445</v>
      </c>
      <c r="C40" s="5" t="s">
        <v>0</v>
      </c>
      <c r="D40" s="9">
        <f>D39/(0.3*$B$10)</f>
        <v>6.666666666666667</v>
      </c>
      <c r="E40" s="5" t="s">
        <v>0</v>
      </c>
      <c r="F40" s="9">
        <f>F39/(0.3*$B$10)</f>
        <v>6.88888888888889</v>
      </c>
      <c r="G40" s="5" t="s">
        <v>0</v>
      </c>
      <c r="H40" s="9">
        <f>H39/(0.3*$B$10)</f>
        <v>7.1111111111111125</v>
      </c>
      <c r="I40" s="5" t="s">
        <v>0</v>
      </c>
      <c r="J40" s="9">
        <f>J39/(0.3*$B$10)</f>
        <v>7.333333333333334</v>
      </c>
      <c r="K40" s="5" t="s">
        <v>0</v>
      </c>
      <c r="L40" s="9">
        <f>L39/(0.3*$B$10)</f>
        <v>7.555555555555556</v>
      </c>
      <c r="M40" s="5" t="s">
        <v>0</v>
      </c>
      <c r="N40" s="9">
        <f>N39/(0.3*$B$10)</f>
        <v>7.777777777777779</v>
      </c>
      <c r="O40" s="5" t="s">
        <v>0</v>
      </c>
      <c r="P40" s="9">
        <f>P39/(0.3*$B$10)</f>
        <v>8.000000000000002</v>
      </c>
      <c r="Q40" s="5" t="s">
        <v>0</v>
      </c>
      <c r="R40" s="9">
        <f>R39/(0.3*$B$10)</f>
        <v>8.222222222222223</v>
      </c>
      <c r="S40" s="5" t="s">
        <v>0</v>
      </c>
      <c r="T40" s="9">
        <f>T39/(0.3*$B$10)</f>
        <v>8.444444444444445</v>
      </c>
      <c r="U40" s="5" t="s">
        <v>0</v>
      </c>
      <c r="V40" s="9">
        <f>V39/(0.3*$B$10)</f>
        <v>8.666666666666668</v>
      </c>
      <c r="W40" s="5" t="s">
        <v>0</v>
      </c>
    </row>
    <row r="41" spans="1:23" ht="12.75">
      <c r="A41" s="4" t="s">
        <v>5</v>
      </c>
      <c r="B41" s="9">
        <f>DEGREES(ATAN(SQRT(B40^2-($B$20-$B$21*TAN(RADIANS($B$16))-B40*COS(RADIANS($B$16)))^2)/($B$20-$B$21*TAN(RADIANS($B$16))-B40*COS(RADIANS($B$16)))))</f>
        <v>-12.445115448637067</v>
      </c>
      <c r="C41" s="5" t="s">
        <v>1</v>
      </c>
      <c r="D41" s="9">
        <f>DEGREES(ATAN(SQRT(D40^2-($B$20-$B$21*TAN(RADIANS($B$16))-D40*COS(RADIANS($B$16)))^2)/($B$20-$B$21*TAN(RADIANS($B$16))-D40*COS(RADIANS($B$16)))))</f>
        <v>-12.29292950416152</v>
      </c>
      <c r="E41" s="5" t="s">
        <v>1</v>
      </c>
      <c r="F41" s="9">
        <f>DEGREES(ATAN(SQRT(F40^2-($B$20-$B$21*TAN(RADIANS($B$16))-F40*COS(RADIANS($B$16)))^2)/($B$20-$B$21*TAN(RADIANS($B$16))-F40*COS(RADIANS($B$16)))))</f>
        <v>-12.148863140383305</v>
      </c>
      <c r="G41" s="5" t="s">
        <v>1</v>
      </c>
      <c r="H41" s="9">
        <f>DEGREES(ATAN(SQRT(H40^2-($B$20-$B$21*TAN(RADIANS($B$16))-H40*COS(RADIANS($B$16)))^2)/($B$20-$B$21*TAN(RADIANS($B$16))-H40*COS(RADIANS($B$16)))))</f>
        <v>-12.012255669152745</v>
      </c>
      <c r="I41" s="5" t="s">
        <v>1</v>
      </c>
      <c r="J41" s="9">
        <f>DEGREES(ATAN(SQRT(J40^2-($B$20-$B$21*TAN(RADIANS($B$16))-J40*COS(RADIANS($B$16)))^2)/($B$20-$B$21*TAN(RADIANS($B$16))-J40*COS(RADIANS($B$16)))))</f>
        <v>-11.882518161229324</v>
      </c>
      <c r="K41" s="5" t="s">
        <v>1</v>
      </c>
      <c r="L41" s="9">
        <f>DEGREES(ATAN(SQRT(L40^2-($B$20-$B$21*TAN(RADIANS($B$16))-L40*COS(RADIANS($B$16)))^2)/($B$20-$B$21*TAN(RADIANS($B$16))-L40*COS(RADIANS($B$16)))))</f>
        <v>-11.759123783326102</v>
      </c>
      <c r="M41" s="5" t="s">
        <v>1</v>
      </c>
      <c r="N41" s="9">
        <f>DEGREES(ATAN(SQRT(N40^2-($B$20-$B$21*TAN(RADIANS($B$16))-N40*COS(RADIANS($B$16)))^2)/($B$20-$B$21*TAN(RADIANS($B$16))-N40*COS(RADIANS($B$16)))))</f>
        <v>-11.641599675374874</v>
      </c>
      <c r="O41" s="5" t="s">
        <v>1</v>
      </c>
      <c r="P41" s="9">
        <f>DEGREES(ATAN(SQRT(P40^2-($B$20-$B$21*TAN(RADIANS($B$16))-P40*COS(RADIANS($B$16)))^2)/($B$20-$B$21*TAN(RADIANS($B$16))-P40*COS(RADIANS($B$16)))))</f>
        <v>-11.529520086405242</v>
      </c>
      <c r="Q41" s="5" t="s">
        <v>1</v>
      </c>
      <c r="R41" s="9">
        <f>DEGREES(ATAN(SQRT(R40^2-($B$20-$B$21*TAN(RADIANS($B$16))-R40*COS(RADIANS($B$16)))^2)/($B$20-$B$21*TAN(RADIANS($B$16))-R40*COS(RADIANS($B$16)))))</f>
        <v>-11.422500545172385</v>
      </c>
      <c r="S41" s="5" t="s">
        <v>1</v>
      </c>
      <c r="T41" s="9">
        <f>DEGREES(ATAN(SQRT(T40^2-($B$20-$B$21*TAN(RADIANS($B$16))-T40*COS(RADIANS($B$16)))^2)/($B$20-$B$21*TAN(RADIANS($B$16))-T40*COS(RADIANS($B$16)))))</f>
        <v>-11.320192886356807</v>
      </c>
      <c r="U41" s="5" t="s">
        <v>1</v>
      </c>
      <c r="V41" s="9">
        <f>DEGREES(ATAN(SQRT(V40^2-($B$20-$B$21*TAN(RADIANS($B$16))-V40*COS(RADIANS($B$16)))^2)/($B$20-$B$21*TAN(RADIANS($B$16))-V40*COS(RADIANS($B$16)))))</f>
        <v>-11.222280988000378</v>
      </c>
      <c r="W41" s="5" t="s">
        <v>1</v>
      </c>
    </row>
    <row r="42" spans="1:23" ht="12.75">
      <c r="A42" s="4" t="s">
        <v>49</v>
      </c>
      <c r="B42" s="5">
        <f>B40*SIN(RADIANS($B$16))+SQRT(B40^2-($B$20-$B$21*TAN(RADIANS($B$16))-B40*COS(RADIANS($B$16)))^2)</f>
        <v>2.1183373437228497</v>
      </c>
      <c r="C42" s="5" t="s">
        <v>0</v>
      </c>
      <c r="D42" s="5">
        <f>D40*SIN(RADIANS($B$16))+SQRT(D40^2-($B$20-$B$21*TAN(RADIANS($B$16))-D40*COS(RADIANS($B$16)))^2)</f>
        <v>2.1740868509593323</v>
      </c>
      <c r="E42" s="5" t="s">
        <v>0</v>
      </c>
      <c r="F42" s="5">
        <f>F40*SIN(RADIANS($B$16))+SQRT(F40^2-($B$20-$B$21*TAN(RADIANS($B$16))-F40*COS(RADIANS($B$16)))^2)</f>
        <v>2.2296273017818398</v>
      </c>
      <c r="G42" s="5" t="s">
        <v>0</v>
      </c>
      <c r="H42" s="5">
        <f>H40*SIN(RADIANS($B$16))+SQRT(H40^2-($B$20-$B$21*TAN(RADIANS($B$16))-H40*COS(RADIANS($B$16)))^2)</f>
        <v>2.284971572190972</v>
      </c>
      <c r="I42" s="5" t="s">
        <v>0</v>
      </c>
      <c r="J42" s="5">
        <f>J40*SIN(RADIANS($B$16))+SQRT(J40^2-($B$20-$B$21*TAN(RADIANS($B$16))-J40*COS(RADIANS($B$16)))^2)</f>
        <v>2.3401314285789856</v>
      </c>
      <c r="K42" s="5" t="s">
        <v>0</v>
      </c>
      <c r="L42" s="5">
        <f>L40*SIN(RADIANS($B$16))+SQRT(L40^2-($B$20-$B$21*TAN(RADIANS($B$16))-L40*COS(RADIANS($B$16)))^2)</f>
        <v>2.3951176510835563</v>
      </c>
      <c r="M42" s="5" t="s">
        <v>0</v>
      </c>
      <c r="N42" s="5">
        <f>N40*SIN(RADIANS($B$16))+SQRT(N40^2-($B$20-$B$21*TAN(RADIANS($B$16))-N40*COS(RADIANS($B$16)))^2)</f>
        <v>2.449940140189372</v>
      </c>
      <c r="O42" s="5" t="s">
        <v>0</v>
      </c>
      <c r="P42" s="5">
        <f>P40*SIN(RADIANS($B$16))+SQRT(P40^2-($B$20-$B$21*TAN(RADIANS($B$16))-P40*COS(RADIANS($B$16)))^2)</f>
        <v>2.504608009252059</v>
      </c>
      <c r="Q42" s="5" t="s">
        <v>0</v>
      </c>
      <c r="R42" s="5">
        <f>R40*SIN(RADIANS($B$16))+SQRT(R40^2-($B$20-$B$21*TAN(RADIANS($B$16))-R40*COS(RADIANS($B$16)))^2)</f>
        <v>2.5591296651307442</v>
      </c>
      <c r="S42" s="5" t="s">
        <v>0</v>
      </c>
      <c r="T42" s="5">
        <f>T40*SIN(RADIANS($B$16))+SQRT(T40^2-($B$20-$B$21*TAN(RADIANS($B$16))-T40*COS(RADIANS($B$16)))^2)</f>
        <v>2.6135128787274455</v>
      </c>
      <c r="U42" s="5" t="s">
        <v>0</v>
      </c>
      <c r="V42" s="5">
        <f>V40*SIN(RADIANS($B$16))+SQRT(V40^2-($B$20-$B$21*TAN(RADIANS($B$16))-V40*COS(RADIANS($B$16)))^2)</f>
        <v>2.6677648469200212</v>
      </c>
      <c r="W42" s="5" t="s">
        <v>0</v>
      </c>
    </row>
    <row r="43" spans="1:23" ht="12.75">
      <c r="A43" s="4" t="s">
        <v>84</v>
      </c>
      <c r="B43" s="9">
        <f>B40*RADIANS($B$16-B41)</f>
        <v>2.1308854690501393</v>
      </c>
      <c r="C43" s="12" t="s">
        <v>0</v>
      </c>
      <c r="D43" s="9">
        <f>D40*RADIANS($B$16-D41)</f>
        <v>2.1866566396186933</v>
      </c>
      <c r="E43" s="12" t="s">
        <v>0</v>
      </c>
      <c r="F43" s="9">
        <f>F40*RADIANS($B$16-F41)</f>
        <v>2.242223548924099</v>
      </c>
      <c r="G43" s="12" t="s">
        <v>0</v>
      </c>
      <c r="H43" s="9">
        <f>H40*RADIANS($B$16-H41)</f>
        <v>2.297598673050322</v>
      </c>
      <c r="I43" s="12" t="s">
        <v>0</v>
      </c>
      <c r="J43" s="9">
        <f>J40*RADIANS($B$16-J41)</f>
        <v>2.3527934226214406</v>
      </c>
      <c r="K43" s="12" t="s">
        <v>0</v>
      </c>
      <c r="L43" s="9">
        <f>L40*RADIANS($B$16-L41)</f>
        <v>2.4078182601422897</v>
      </c>
      <c r="M43" s="12" t="s">
        <v>0</v>
      </c>
      <c r="N43" s="9">
        <f>N40*RADIANS($B$16-N41)</f>
        <v>2.462682801553536</v>
      </c>
      <c r="O43" s="12" t="s">
        <v>0</v>
      </c>
      <c r="P43" s="9">
        <f>P40*RADIANS($B$16-P41)</f>
        <v>2.5173959044977923</v>
      </c>
      <c r="Q43" s="12" t="s">
        <v>0</v>
      </c>
      <c r="R43" s="9">
        <f>R40*RADIANS($B$16-R41)</f>
        <v>2.5719657453418363</v>
      </c>
      <c r="S43" s="12" t="s">
        <v>0</v>
      </c>
      <c r="T43" s="9">
        <f>T40*RADIANS($B$16-T41)</f>
        <v>2.62639988664025</v>
      </c>
      <c r="U43" s="12" t="s">
        <v>0</v>
      </c>
      <c r="V43" s="9">
        <f>V40*RADIANS($B$16-V41)</f>
        <v>2.680705336436403</v>
      </c>
      <c r="W43" s="12" t="s">
        <v>0</v>
      </c>
    </row>
    <row r="44" spans="1:23" ht="12.75">
      <c r="A44" s="4" t="s">
        <v>92</v>
      </c>
      <c r="B44" s="9">
        <f>-B39/(300000000*0.000000001*$B$11*$B$18)</f>
        <v>5.141843971631204</v>
      </c>
      <c r="C44" s="12" t="s">
        <v>0</v>
      </c>
      <c r="D44" s="9">
        <f>-D39/(300000000*0.000000001*$B$11*$B$18)</f>
        <v>5.319148936170211</v>
      </c>
      <c r="E44" s="12" t="s">
        <v>0</v>
      </c>
      <c r="F44" s="9">
        <f>-F39/(300000000*0.000000001*$B$11*$B$18)</f>
        <v>5.496453900709218</v>
      </c>
      <c r="G44" s="12" t="s">
        <v>0</v>
      </c>
      <c r="H44" s="9">
        <f>-H39/(300000000*0.000000001*$B$11*$B$18)</f>
        <v>5.673758865248225</v>
      </c>
      <c r="I44" s="12" t="s">
        <v>0</v>
      </c>
      <c r="J44" s="9">
        <f>-J39/(300000000*0.000000001*$B$11*$B$18)</f>
        <v>5.851063829787232</v>
      </c>
      <c r="K44" s="12" t="s">
        <v>0</v>
      </c>
      <c r="L44" s="9">
        <f>-L39/(300000000*0.000000001*$B$11*$B$18)</f>
        <v>6.028368794326239</v>
      </c>
      <c r="M44" s="12" t="s">
        <v>0</v>
      </c>
      <c r="N44" s="9">
        <f>-N39/(300000000*0.000000001*$B$11*$B$18)</f>
        <v>6.205673758865246</v>
      </c>
      <c r="O44" s="12" t="s">
        <v>0</v>
      </c>
      <c r="P44" s="9">
        <f>-P39/(300000000*0.000000001*$B$11*$B$18)</f>
        <v>6.382978723404253</v>
      </c>
      <c r="Q44" s="12" t="s">
        <v>0</v>
      </c>
      <c r="R44" s="9">
        <f>-R39/(300000000*0.000000001*$B$11*$B$18)</f>
        <v>6.560283687943261</v>
      </c>
      <c r="S44" s="12" t="s">
        <v>0</v>
      </c>
      <c r="T44" s="9">
        <f>-T39/(300000000*0.000000001*$B$11*$B$18)</f>
        <v>6.737588652482267</v>
      </c>
      <c r="U44" s="12" t="s">
        <v>0</v>
      </c>
      <c r="V44" s="9">
        <f>-V39/(300000000*0.000000001*$B$11*$B$18)</f>
        <v>6.914893617021274</v>
      </c>
      <c r="W44" s="12" t="s">
        <v>0</v>
      </c>
    </row>
    <row r="45" spans="1:23" ht="12.75">
      <c r="A45" s="4" t="s">
        <v>94</v>
      </c>
      <c r="B45" s="35">
        <f>B39/(300000000*0.000000001*$B$10*TAN(RADIANS($B$16)))</f>
        <v>56.562162966495265</v>
      </c>
      <c r="C45" s="12" t="s">
        <v>0</v>
      </c>
      <c r="D45" s="35">
        <f>D39/(300000000*0.000000001*$B$10*TAN(RADIANS($B$16)))</f>
        <v>58.512582379133036</v>
      </c>
      <c r="E45" s="12" t="s">
        <v>0</v>
      </c>
      <c r="F45" s="35">
        <f>F39/(300000000*0.000000001*$B$10*TAN(RADIANS($B$16)))</f>
        <v>60.4630017917708</v>
      </c>
      <c r="G45" s="12" t="s">
        <v>0</v>
      </c>
      <c r="H45" s="35">
        <f>H39/(300000000*0.000000001*$B$10*TAN(RADIANS($B$16)))</f>
        <v>62.41342120440857</v>
      </c>
      <c r="I45" s="12" t="s">
        <v>0</v>
      </c>
      <c r="J45" s="35">
        <f>J39/(300000000*0.000000001*$B$10*TAN(RADIANS($B$16)))</f>
        <v>64.36384061704634</v>
      </c>
      <c r="K45" s="12" t="s">
        <v>0</v>
      </c>
      <c r="L45" s="35">
        <f>L39/(300000000*0.000000001*$B$10*TAN(RADIANS($B$16)))</f>
        <v>66.3142600296841</v>
      </c>
      <c r="M45" s="12" t="s">
        <v>0</v>
      </c>
      <c r="N45" s="35">
        <f>N39/(300000000*0.000000001*$B$10*TAN(RADIANS($B$16)))</f>
        <v>68.26467944232188</v>
      </c>
      <c r="O45" s="12" t="s">
        <v>0</v>
      </c>
      <c r="P45" s="35">
        <f>P39/(300000000*0.000000001*$B$10*TAN(RADIANS($B$16)))</f>
        <v>70.21509885495963</v>
      </c>
      <c r="Q45" s="12" t="s">
        <v>0</v>
      </c>
      <c r="R45" s="35">
        <f>R39/(300000000*0.000000001*$B$10*TAN(RADIANS($B$16)))</f>
        <v>72.1655182675974</v>
      </c>
      <c r="S45" s="12" t="s">
        <v>0</v>
      </c>
      <c r="T45" s="35">
        <f>T39/(300000000*0.000000001*$B$10*TAN(RADIANS($B$16)))</f>
        <v>74.11593768023518</v>
      </c>
      <c r="U45" s="12" t="s">
        <v>0</v>
      </c>
      <c r="V45" s="35">
        <f>V39/(300000000*0.000000001*$B$10*TAN(RADIANS($B$16)))</f>
        <v>76.06635709287295</v>
      </c>
      <c r="W45" s="12" t="s">
        <v>0</v>
      </c>
    </row>
    <row r="46" spans="1:23" ht="12.75">
      <c r="A46" s="4" t="s">
        <v>93</v>
      </c>
      <c r="B46" s="9">
        <f>B39/(300000000*0.000000001*$B$10/TAN(RADIANS(B41)))</f>
        <v>-1.4222236673937345</v>
      </c>
      <c r="C46" s="12" t="s">
        <v>0</v>
      </c>
      <c r="D46" s="9">
        <f>D39/(300000000*0.000000001*$B$10/TAN(RADIANS(D41)))</f>
        <v>-1.4527066263620951</v>
      </c>
      <c r="E46" s="12" t="s">
        <v>0</v>
      </c>
      <c r="F46" s="9">
        <f>F39/(300000000*0.000000001*$B$10/TAN(RADIANS(F41)))</f>
        <v>-1.482995948862727</v>
      </c>
      <c r="G46" s="12" t="s">
        <v>0</v>
      </c>
      <c r="H46" s="9">
        <f>H39/(300000000*0.000000001*$B$10/TAN(RADIANS(H41)))</f>
        <v>-1.5131032018641604</v>
      </c>
      <c r="I46" s="12" t="s">
        <v>0</v>
      </c>
      <c r="J46" s="9">
        <f>J39/(300000000*0.000000001*$B$10/TAN(RADIANS(J41)))</f>
        <v>-1.543038989784082</v>
      </c>
      <c r="K46" s="12" t="s">
        <v>0</v>
      </c>
      <c r="L46" s="9">
        <f>L39/(300000000*0.000000001*$B$10/TAN(RADIANS(L41)))</f>
        <v>-1.5728130574682946</v>
      </c>
      <c r="M46" s="12" t="s">
        <v>0</v>
      </c>
      <c r="N46" s="9">
        <f>N39/(300000000*0.000000001*$B$10/TAN(RADIANS(N41)))</f>
        <v>-1.6024343797477103</v>
      </c>
      <c r="O46" s="12" t="s">
        <v>0</v>
      </c>
      <c r="P46" s="9">
        <f>P39/(300000000*0.000000001*$B$10/TAN(RADIANS(P41)))</f>
        <v>-1.631911239624956</v>
      </c>
      <c r="Q46" s="12" t="s">
        <v>0</v>
      </c>
      <c r="R46" s="9">
        <f>R39/(300000000*0.000000001*$B$10/TAN(RADIANS(R41)))</f>
        <v>-1.6612512967844286</v>
      </c>
      <c r="S46" s="12" t="s">
        <v>0</v>
      </c>
      <c r="T46" s="9">
        <f>T39/(300000000*0.000000001*$B$10/TAN(RADIANS(T41)))</f>
        <v>-1.6904616478318986</v>
      </c>
      <c r="U46" s="12" t="s">
        <v>0</v>
      </c>
      <c r="V46" s="9">
        <f>V39/(300000000*0.000000001*$B$10/TAN(RADIANS(V41)))</f>
        <v>-1.7195488794361065</v>
      </c>
      <c r="W46" s="12" t="s">
        <v>0</v>
      </c>
    </row>
    <row r="47" spans="1:23" ht="12.75">
      <c r="A47" s="4" t="s">
        <v>96</v>
      </c>
      <c r="B47" s="17">
        <v>1</v>
      </c>
      <c r="C47" s="17">
        <f>-1/B44</f>
        <v>-0.19448275862068973</v>
      </c>
      <c r="D47" s="17">
        <v>1</v>
      </c>
      <c r="E47" s="17">
        <f>-1/D44</f>
        <v>-0.18800000000000006</v>
      </c>
      <c r="F47" s="17">
        <v>1</v>
      </c>
      <c r="G47" s="17">
        <f>-1/F44</f>
        <v>-0.1819354838709678</v>
      </c>
      <c r="H47" s="17">
        <v>1</v>
      </c>
      <c r="I47" s="17">
        <f>-1/H44</f>
        <v>-0.17625000000000005</v>
      </c>
      <c r="J47" s="17">
        <v>1</v>
      </c>
      <c r="K47" s="17">
        <f>-1/J44</f>
        <v>-0.17090909090909098</v>
      </c>
      <c r="L47" s="17">
        <v>1</v>
      </c>
      <c r="M47" s="17">
        <f>-1/L44</f>
        <v>-0.16588235294117654</v>
      </c>
      <c r="N47" s="17">
        <v>1</v>
      </c>
      <c r="O47" s="17">
        <f>-1/N44</f>
        <v>-0.1611428571428572</v>
      </c>
      <c r="P47" s="17">
        <v>1</v>
      </c>
      <c r="Q47" s="17">
        <f>-1/P44</f>
        <v>-0.1566666666666667</v>
      </c>
      <c r="R47" s="17">
        <v>1</v>
      </c>
      <c r="S47" s="17">
        <f>-1/R44</f>
        <v>-0.15243243243243249</v>
      </c>
      <c r="T47" s="17">
        <v>1</v>
      </c>
      <c r="U47" s="17">
        <f>-1/T44</f>
        <v>-0.148421052631579</v>
      </c>
      <c r="V47" s="17">
        <v>1</v>
      </c>
      <c r="W47" s="17">
        <f>-1/V44</f>
        <v>-0.14461538461538467</v>
      </c>
    </row>
    <row r="48" spans="1:23" ht="12.75">
      <c r="A48" s="4" t="s">
        <v>95</v>
      </c>
      <c r="B48" s="17">
        <f>B47+C47*$B$29</f>
        <v>0.5215724137931033</v>
      </c>
      <c r="C48" s="17">
        <f>-B47/B45+C47*(1-$B$29/B45)</f>
        <v>-0.20370398331292894</v>
      </c>
      <c r="D48" s="17">
        <f>D47+E47*$B$29</f>
        <v>0.5375199999999999</v>
      </c>
      <c r="E48" s="17">
        <f>-D47/D45+E47*(1-$B$29/D45)</f>
        <v>-0.19718640022614514</v>
      </c>
      <c r="F48" s="17">
        <f>F47+G47*$B$29</f>
        <v>0.5524387096774193</v>
      </c>
      <c r="G48" s="17">
        <f>-F47/F45+G47*(1-$B$29/F45)</f>
        <v>-0.1910722897407784</v>
      </c>
      <c r="H48" s="17">
        <f>H47+I47*$B$29</f>
        <v>0.566425</v>
      </c>
      <c r="I48" s="17">
        <f>-H47/H45+I47*(1-$B$29/H45)</f>
        <v>-0.18532537175609906</v>
      </c>
      <c r="J48" s="17">
        <f>J47+K47*$B$29</f>
        <v>0.5795636363636362</v>
      </c>
      <c r="K48" s="17">
        <f>-J47/J45+K47*(1-$B$29/J45)</f>
        <v>-0.1799135821079916</v>
      </c>
      <c r="L48" s="17">
        <f>L47+M47*$B$29</f>
        <v>0.5919294117647057</v>
      </c>
      <c r="M48" s="17">
        <f>-L47/L45+M47*(1-$B$29/L45)</f>
        <v>-0.174808478506021</v>
      </c>
      <c r="N48" s="17">
        <f>N47+O47*$B$29</f>
        <v>0.6035885714285714</v>
      </c>
      <c r="O48" s="17">
        <f>-N47/N45+O47*(1-$B$29/N45)</f>
        <v>-0.16998474399209604</v>
      </c>
      <c r="P48" s="17">
        <f>P47+Q47*$B$29</f>
        <v>0.6145999999999999</v>
      </c>
      <c r="Q48" s="17">
        <f>-P47/P45+Q47*(1-$B$29/P45)</f>
        <v>-0.16541976977444062</v>
      </c>
      <c r="R48" s="17">
        <f>R47+S47*$B$29</f>
        <v>0.6250162162162161</v>
      </c>
      <c r="S48" s="17">
        <f>-R47/R45+S47*(1-$B$29/R45)</f>
        <v>-0.16109330304239042</v>
      </c>
      <c r="T48" s="17">
        <f>T47+U47*$B$29</f>
        <v>0.6348842105263157</v>
      </c>
      <c r="U48" s="17">
        <f>-T47/T45+U47*(1-$B$29/T45)</f>
        <v>-0.15698714827035312</v>
      </c>
      <c r="V48" s="17">
        <f>V47+W47*$B$29</f>
        <v>0.6442461538461537</v>
      </c>
      <c r="W48" s="17">
        <f>-V47/V45+W47*(1-$B$29/V45)</f>
        <v>-0.15308491278089895</v>
      </c>
    </row>
    <row r="49" spans="1:23" ht="12.75">
      <c r="A49" s="4" t="s">
        <v>97</v>
      </c>
      <c r="B49" s="17">
        <f>B48+C48*$B$29</f>
        <v>0.020460614843298086</v>
      </c>
      <c r="C49" s="17">
        <f>-B48/B46+C48*(1-$B$29/B46)</f>
        <v>-0.18931762811973157</v>
      </c>
      <c r="D49" s="17">
        <f>D48+E48*$B$29</f>
        <v>0.05244145544368284</v>
      </c>
      <c r="E49" s="17">
        <f>-D48/D46+E48*(1-$B$29/D46)</f>
        <v>-0.16108726328270867</v>
      </c>
      <c r="F49" s="17">
        <f>F48+G48*$B$29</f>
        <v>0.08240087691510445</v>
      </c>
      <c r="G49" s="17">
        <f>-F48/F46+G48*(1-$B$29/F46)</f>
        <v>-0.13550849876866167</v>
      </c>
      <c r="H49" s="17">
        <f>H48+I48*$B$29</f>
        <v>0.11052458547999627</v>
      </c>
      <c r="I49" s="17">
        <f>-H48/H46+I48*(1-$B$29/H46)</f>
        <v>-0.11228039680407415</v>
      </c>
      <c r="J49" s="17">
        <f>J48+K48*$B$29</f>
        <v>0.13697622437797685</v>
      </c>
      <c r="K49" s="17">
        <f>-J48/J46+K48*(1-$B$29/J46)</f>
        <v>-0.09114315875197254</v>
      </c>
      <c r="L49" s="17">
        <f>L48+M48*$B$29</f>
        <v>0.16190055463989406</v>
      </c>
      <c r="M49" s="17">
        <f>-L48/L46+M48*(1-$B$29/L46)</f>
        <v>-0.07187154402984108</v>
      </c>
      <c r="N49" s="17">
        <f>N48+O48*$B$29</f>
        <v>0.18542610120801511</v>
      </c>
      <c r="O49" s="17">
        <f>-N48/N46+O48*(1-$B$29/N46)</f>
        <v>-0.05426949003130116</v>
      </c>
      <c r="P49" s="17">
        <f>P48+Q48*$B$29</f>
        <v>0.20766736635487604</v>
      </c>
      <c r="Q49" s="17">
        <f>-P48/P46+Q48*(1-$B$29/P46)</f>
        <v>-0.03816568798834924</v>
      </c>
      <c r="R49" s="17">
        <f>R48+S48*$B$29</f>
        <v>0.22872669073193563</v>
      </c>
      <c r="S49" s="17">
        <f>-R48/R46+S48*(1-$B$29/R46)</f>
        <v>-0.023409924751179256</v>
      </c>
      <c r="T49" s="17">
        <f>T48+U48*$B$29</f>
        <v>0.24869582578124705</v>
      </c>
      <c r="U49" s="17">
        <f>-T48/T46+U48*(1-$B$29/T46)</f>
        <v>-0.009870042064357931</v>
      </c>
      <c r="V49" s="17">
        <f>V48+W48*$B$29</f>
        <v>0.2676572684051423</v>
      </c>
      <c r="W49" s="17">
        <f>-V48/V46+W48*(1-$B$29/V46)</f>
        <v>0.002570603387338999</v>
      </c>
    </row>
    <row r="50" spans="1:23" ht="12.75">
      <c r="A50" s="4" t="s">
        <v>98</v>
      </c>
      <c r="B50" s="38">
        <f>IF(AND(B49&lt;0,C49&lt;0),"---",IF(AND(B49&gt;0,C49&lt;0),-B49/C49,"---"))</f>
        <v>0.1080755925716438</v>
      </c>
      <c r="C50" s="17" t="s">
        <v>0</v>
      </c>
      <c r="D50" s="38">
        <f>IF(AND(D49&lt;0,E49&lt;0),"---",IF(AND(D49&gt;0,E49&lt;0),-D49/E49,"---"))</f>
        <v>0.3255468767362936</v>
      </c>
      <c r="E50" s="17" t="s">
        <v>0</v>
      </c>
      <c r="F50" s="38">
        <f>IF(AND(F49&lt;0,G49&lt;0),"---",IF(AND(F49&gt;0,G49&lt;0),-F49/G49,"---"))</f>
        <v>0.6080864127627754</v>
      </c>
      <c r="G50" s="17" t="s">
        <v>0</v>
      </c>
      <c r="H50" s="38">
        <f>IF(AND(H49&lt;0,I49&lt;0),"---",IF(AND(H49&gt;0,I49&lt;0),-H49/I49,"---"))</f>
        <v>0.984362262923405</v>
      </c>
      <c r="I50" s="17" t="s">
        <v>0</v>
      </c>
      <c r="J50" s="38">
        <f>IF(AND(J49&lt;0,K49&lt;0),"---",IF(AND(J49&gt;0,K49&lt;0),-J49/K49,"---"))</f>
        <v>1.5028689619012396</v>
      </c>
      <c r="K50" s="17" t="s">
        <v>0</v>
      </c>
      <c r="L50" s="38">
        <f>IF(AND(L49&lt;0,M49&lt;0),"---",IF(AND(L49&gt;0,M49&lt;0),-L49/M49,"---"))</f>
        <v>2.252637769583368</v>
      </c>
      <c r="M50" s="17" t="s">
        <v>0</v>
      </c>
      <c r="N50" s="38">
        <f>IF(AND(N49&lt;0,O49&lt;0),"---",IF(AND(N49&gt;0,O49&lt;0),-N49/O49,"---"))</f>
        <v>3.4167651308509885</v>
      </c>
      <c r="O50" s="17" t="s">
        <v>0</v>
      </c>
      <c r="P50" s="38">
        <f>IF(AND(P49&lt;0,Q49&lt;0),"---",IF(AND(P49&gt;0,Q49&lt;0),-P49/Q49,"---"))</f>
        <v>5.441205892011438</v>
      </c>
      <c r="Q50" s="17" t="s">
        <v>0</v>
      </c>
      <c r="R50" s="38">
        <f>IF(AND(R49&lt;0,S49&lt;0),"---",IF(AND(R49&gt;0,S49&lt;0),-R49/S49,"---"))</f>
        <v>9.770500894942591</v>
      </c>
      <c r="S50" s="17" t="s">
        <v>0</v>
      </c>
      <c r="T50" s="38">
        <f>IF(AND(T49&lt;0,U49&lt;0),"---",IF(AND(T49&gt;0,U49&lt;0),-T49/U49,"---"))</f>
        <v>25.197038083487165</v>
      </c>
      <c r="U50" s="17" t="s">
        <v>0</v>
      </c>
      <c r="V50" s="38" t="str">
        <f>IF(AND(V49&lt;0,W49&lt;0),"---",IF(AND(V49&gt;0,W49&lt;0),-V49/W49,"---"))</f>
        <v>---</v>
      </c>
      <c r="W50" s="17" t="s">
        <v>0</v>
      </c>
    </row>
    <row r="51" spans="1:23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.75">
      <c r="A52" s="4" t="s">
        <v>8</v>
      </c>
      <c r="B52" s="5">
        <f>IF(B50="---","",B50*SIN(RADIANS(B41)))</f>
        <v>-0.02329075547387074</v>
      </c>
      <c r="C52" s="5"/>
      <c r="D52" s="5">
        <f>IF(D50="---","",D50*SIN(RADIANS(D41)))</f>
        <v>-0.06931212493383515</v>
      </c>
      <c r="E52" s="5"/>
      <c r="F52" s="5">
        <f>IF(F50="---","",F50*SIN(RADIANS(F41)))</f>
        <v>-0.1279732220467557</v>
      </c>
      <c r="G52" s="5"/>
      <c r="H52" s="5">
        <f>IF(H50="---","",H50*SIN(RADIANS(H41)))</f>
        <v>-0.20486637344487757</v>
      </c>
      <c r="I52" s="5"/>
      <c r="J52" s="5">
        <f>IF(J50="---","",J50*SIN(RADIANS(J41)))</f>
        <v>-0.30944916147450985</v>
      </c>
      <c r="K52" s="5"/>
      <c r="L52" s="5">
        <f>IF(L50="---","",L50*SIN(RADIANS(L41)))</f>
        <v>-0.4590822878346575</v>
      </c>
      <c r="M52" s="5"/>
      <c r="N52" s="5">
        <f>IF(N50="---","",N50*SIN(RADIANS(N41)))</f>
        <v>-0.6894659263981322</v>
      </c>
      <c r="O52" s="5"/>
      <c r="P52" s="5">
        <f>IF(P50="---","",P50*SIN(RADIANS(P41)))</f>
        <v>-1.087548988391603</v>
      </c>
      <c r="Q52" s="5"/>
      <c r="R52" s="5">
        <f>IF(R50="---","",R50*SIN(RADIANS(R41)))</f>
        <v>-1.9349723330420008</v>
      </c>
      <c r="S52" s="5"/>
      <c r="T52" s="5">
        <f>IF(T50="---","",T50*SIN(RADIANS(T41)))</f>
        <v>-4.945970256685556</v>
      </c>
      <c r="U52" s="5"/>
      <c r="V52" s="5">
        <f>IF(V50="---","",V50*SIN(RADIANS(V41)))</f>
      </c>
      <c r="W52" s="5"/>
    </row>
    <row r="53" spans="1:23" ht="12.75">
      <c r="A53" s="13" t="s">
        <v>23</v>
      </c>
      <c r="B53" s="7">
        <f>IF(B50="---","",B42+B50*COS(RADIANS(B41)))</f>
        <v>2.223873472224744</v>
      </c>
      <c r="C53" s="7"/>
      <c r="D53" s="7">
        <f>IF(D50="---","",D42+D50*COS(RADIANS(D41)))</f>
        <v>2.49216954192178</v>
      </c>
      <c r="E53" s="7"/>
      <c r="F53" s="7">
        <f>IF(F50="---","",F42+F50*COS(RADIANS(F41)))</f>
        <v>2.8240950804088</v>
      </c>
      <c r="G53" s="7"/>
      <c r="H53" s="7">
        <f>IF(H50="---","",H42+H50*COS(RADIANS(H41)))</f>
        <v>3.247779358667188</v>
      </c>
      <c r="I53" s="7"/>
      <c r="J53" s="7">
        <f>IF(J50="---","",J42+J50*COS(RADIANS(J41)))</f>
        <v>3.8107966974654284</v>
      </c>
      <c r="K53" s="7"/>
      <c r="L53" s="7">
        <f>IF(L50="---","",L42+L50*COS(RADIANS(L41)))</f>
        <v>4.600479384212621</v>
      </c>
      <c r="M53" s="7"/>
      <c r="N53" s="7">
        <f>IF(N50="---","",N42+N50*COS(RADIANS(N41)))</f>
        <v>5.796418990523726</v>
      </c>
      <c r="O53" s="7"/>
      <c r="P53" s="7">
        <f>IF(P50="---","",P42+P50*COS(RADIANS(P41)))</f>
        <v>7.836020463481087</v>
      </c>
      <c r="Q53" s="7"/>
      <c r="R53" s="7">
        <f>IF(R50="---","",R42+R50*COS(RADIANS(R41)))</f>
        <v>12.136110912289787</v>
      </c>
      <c r="S53" s="7"/>
      <c r="T53" s="7">
        <f>IF(T50="---","",T42+T50*COS(RADIANS(T41)))</f>
        <v>27.320356189856536</v>
      </c>
      <c r="U53" s="7"/>
      <c r="V53" s="7">
        <f>IF(V50="---","",V42+V50*COS(RADIANS(V41)))</f>
      </c>
      <c r="W53" s="7"/>
    </row>
    <row r="56" spans="2:4" ht="12.75">
      <c r="B56" t="s">
        <v>30</v>
      </c>
      <c r="D56" t="s">
        <v>31</v>
      </c>
    </row>
    <row r="57" spans="1:5" ht="12.75">
      <c r="A57" s="14" t="s">
        <v>24</v>
      </c>
      <c r="B57" s="14" t="s">
        <v>25</v>
      </c>
      <c r="C57" s="14" t="s">
        <v>26</v>
      </c>
      <c r="D57" s="14" t="s">
        <v>27</v>
      </c>
      <c r="E57" s="14" t="s">
        <v>28</v>
      </c>
    </row>
    <row r="58" spans="1:5" ht="12.75">
      <c r="A58" s="15" t="s">
        <v>39</v>
      </c>
      <c r="B58" s="15" t="s">
        <v>35</v>
      </c>
      <c r="C58" s="15" t="s">
        <v>35</v>
      </c>
      <c r="D58" s="15" t="s">
        <v>35</v>
      </c>
      <c r="E58" s="15" t="s">
        <v>35</v>
      </c>
    </row>
    <row r="59" spans="1:5" ht="12.75">
      <c r="A59">
        <f>B39</f>
        <v>2.9</v>
      </c>
      <c r="B59" s="16">
        <f>B52</f>
        <v>-0.02329075547387074</v>
      </c>
      <c r="C59" s="16">
        <f>B53</f>
        <v>2.223873472224744</v>
      </c>
      <c r="D59" s="16">
        <f>IF(AND(ISNUMBER(B59),ISNUMBER(C59)),(B59-'point-point model'!B$20)*COS(RADIANS('point-point model'!B$16))-(C59-'point-point model'!B$21)*SIN(RADIANS('point-point model'!B$16)),999)</f>
        <v>-0.38418356732974257</v>
      </c>
      <c r="E59" s="16">
        <f>IF(AND(ISNUMBER(B59),ISNUMBER(C59)),(B59-'point-point model'!B$20)*SIN(RADIANS('point-point model'!B$16))+(C59-'point-point model'!B$21)*COS(RADIANS('point-point model'!B$16)),-999)</f>
        <v>5.35448915070308</v>
      </c>
    </row>
    <row r="60" spans="1:5" ht="12.75">
      <c r="A60">
        <f>D39</f>
        <v>3</v>
      </c>
      <c r="B60" s="16">
        <f>D52</f>
        <v>-0.06931212493383515</v>
      </c>
      <c r="C60" s="16">
        <f>D53</f>
        <v>2.49216954192178</v>
      </c>
      <c r="D60" s="16">
        <f>IF(AND(ISNUMBER(B60),ISNUMBER(C60)),(B60-'point-point model'!B$20)*COS(RADIANS('point-point model'!B$16))-(C60-'point-point model'!B$21)*SIN(RADIANS('point-point model'!B$16)),999)</f>
        <v>-0.46028108211586016</v>
      </c>
      <c r="E60" s="16">
        <f>IF(AND(ISNUMBER(B60),ISNUMBER(C60)),(B60-'point-point model'!B$20)*SIN(RADIANS('point-point model'!B$16))+(C60-'point-point model'!B$21)*COS(RADIANS('point-point model'!B$16)),-999)</f>
        <v>5.615850807617831</v>
      </c>
    </row>
    <row r="61" spans="1:5" ht="12.75">
      <c r="A61" s="1">
        <f>F39</f>
        <v>3.1</v>
      </c>
      <c r="B61" s="16">
        <f>F52</f>
        <v>-0.1279732220467557</v>
      </c>
      <c r="C61" s="16">
        <f>F53</f>
        <v>2.8240950804088</v>
      </c>
      <c r="D61" s="16">
        <f>IF(AND(ISNUMBER(B61),ISNUMBER(C61)),(B61-'point-point model'!B$20)*COS(RADIANS('point-point model'!B$16))-(C61-'point-point model'!B$21)*SIN(RADIANS('point-point model'!B$16)),999)</f>
        <v>-0.5561401349187427</v>
      </c>
      <c r="E61" s="16">
        <f>IF(AND(ISNUMBER(B61),ISNUMBER(C61)),(B61-'point-point model'!B$20)*SIN(RADIANS('point-point model'!B$16))+(C61-'point-point model'!B$21)*COS(RADIANS('point-point model'!B$16)),-999)</f>
        <v>5.939002056122496</v>
      </c>
    </row>
    <row r="62" spans="1:5" ht="12.75">
      <c r="A62">
        <f>H39</f>
        <v>3.2</v>
      </c>
      <c r="B62" s="17">
        <f>H52</f>
        <v>-0.20486637344487757</v>
      </c>
      <c r="C62" s="17">
        <f>H53</f>
        <v>3.247779358667188</v>
      </c>
      <c r="D62" s="16">
        <f>IF(AND(ISNUMBER(B62),ISNUMBER(C62)),(B62-'point-point model'!B$20)*COS(RADIANS('point-point model'!B$16))-(C62-'point-point model'!B$21)*SIN(RADIANS('point-point model'!B$16)),999)</f>
        <v>-0.680501427963981</v>
      </c>
      <c r="E62" s="16">
        <f>IF(AND(ISNUMBER(B62),ISNUMBER(C62)),(B62-'point-point model'!B$20)*SIN(RADIANS('point-point model'!B$16))+(C62-'point-point model'!B$21)*COS(RADIANS('point-point model'!B$16)),-999)</f>
        <v>6.351258278837668</v>
      </c>
    </row>
    <row r="63" spans="1:5" ht="12.75">
      <c r="A63">
        <f>J39</f>
        <v>3.3</v>
      </c>
      <c r="B63" s="17">
        <f>J52</f>
        <v>-0.30944916147450985</v>
      </c>
      <c r="C63" s="17">
        <f>J53</f>
        <v>3.8107966974654284</v>
      </c>
      <c r="D63" s="16">
        <f>IF(AND(ISNUMBER(B63),ISNUMBER(C63)),(B63-'point-point model'!B$20)*COS(RADIANS('point-point model'!B$16))-(C63-'point-point model'!B$21)*SIN(RADIANS('point-point model'!B$16)),999)</f>
        <v>-0.8481473148974292</v>
      </c>
      <c r="E63" s="16">
        <f>IF(AND(ISNUMBER(B63),ISNUMBER(C63)),(B63-'point-point model'!B$20)*SIN(RADIANS('point-point model'!B$16))+(C63-'point-point model'!B$21)*COS(RADIANS('point-point model'!B$16)),-999)</f>
        <v>6.898817353215769</v>
      </c>
    </row>
    <row r="64" spans="1:5" ht="12.75">
      <c r="A64" s="1">
        <f>L39</f>
        <v>3.4</v>
      </c>
      <c r="B64" s="18">
        <f>L52</f>
        <v>-0.4590822878346575</v>
      </c>
      <c r="C64" s="18">
        <f>L53</f>
        <v>4.600479384212621</v>
      </c>
      <c r="D64" s="16">
        <f>IF(AND(ISNUMBER(B64),ISNUMBER(C64)),(B64-'point-point model'!B$20)*COS(RADIANS('point-point model'!B$16))-(C64-'point-point model'!B$21)*SIN(RADIANS('point-point model'!B$16)),999)</f>
        <v>-1.0862131959224277</v>
      </c>
      <c r="E64" s="16">
        <f>IF(AND(ISNUMBER(B64),ISNUMBER(C64)),(B64-'point-point model'!B$20)*SIN(RADIANS('point-point model'!B$16))+(C64-'point-point model'!B$21)*COS(RADIANS('point-point model'!B$16)),-999)</f>
        <v>7.666484894892742</v>
      </c>
    </row>
    <row r="65" spans="1:5" ht="12.75">
      <c r="A65">
        <f>N39</f>
        <v>3.5</v>
      </c>
      <c r="B65" s="17">
        <f>N52</f>
        <v>-0.6894659263981322</v>
      </c>
      <c r="C65" s="18">
        <f>N53</f>
        <v>5.796418990523726</v>
      </c>
      <c r="D65" s="16">
        <f>IF(AND(ISNUMBER(B65),ISNUMBER(C65)),(B65-'point-point model'!B$20)*COS(RADIANS('point-point model'!B$16))-(C65-'point-point model'!B$21)*SIN(RADIANS('point-point model'!B$16)),-999)</f>
        <v>-1.4505001021142057</v>
      </c>
      <c r="E65" s="16">
        <f>IF(AND(ISNUMBER(B65),ISNUMBER(C65)),(B65-'point-point model'!B$20)*SIN(RADIANS('point-point model'!B$16))+(C65-'point-point model'!B$21)*COS(RADIANS('point-point model'!B$16)),999)</f>
        <v>8.828656660527464</v>
      </c>
    </row>
    <row r="66" spans="1:5" ht="12.75">
      <c r="A66">
        <f>P39</f>
        <v>3.6</v>
      </c>
      <c r="B66" s="17">
        <f>P52</f>
        <v>-1.087548988391603</v>
      </c>
      <c r="C66" s="17">
        <f>P53</f>
        <v>7.836020463481087</v>
      </c>
      <c r="D66" s="16">
        <f>IF(AND(ISNUMBER(B66),ISNUMBER(C66)),(B66-'point-point model'!B$20)*COS(RADIANS('point-point model'!B$16))-(C66-'point-point model'!B$21)*SIN(RADIANS('point-point model'!B$16)),-999)</f>
        <v>-2.076913670277006</v>
      </c>
      <c r="E66" s="16">
        <f>IF(AND(ISNUMBER(B66),ISNUMBER(C66)),(B66-'point-point model'!B$20)*SIN(RADIANS('point-point model'!B$16))+(C66-'point-point model'!B$21)*COS(RADIANS('point-point model'!B$16)),999)</f>
        <v>10.81008299889018</v>
      </c>
    </row>
    <row r="67" spans="1:5" ht="12.75">
      <c r="A67" s="1">
        <f>R39</f>
        <v>3.7</v>
      </c>
      <c r="B67" s="18">
        <f>R52</f>
        <v>-1.9349723330420008</v>
      </c>
      <c r="C67" s="18">
        <f>R53</f>
        <v>12.136110912289787</v>
      </c>
      <c r="D67" s="16">
        <f>IF(AND(ISNUMBER(B67),ISNUMBER(C67)),(B67-'point-point model'!B$20)*COS(RADIANS('point-point model'!B$16))-(C67-'point-point model'!B$21)*SIN(RADIANS('point-point model'!B$16)),-999)</f>
        <v>-3.4056737136627873</v>
      </c>
      <c r="E67" s="16">
        <f>IF(AND(ISNUMBER(B67),ISNUMBER(C67)),(B67-'point-point model'!B$20)*SIN(RADIANS('point-point model'!B$16))+(C67-'point-point model'!B$21)*COS(RADIANS('point-point model'!B$16)),999)</f>
        <v>14.986600799653838</v>
      </c>
    </row>
    <row r="68" spans="1:5" ht="12.75">
      <c r="A68">
        <f>T39</f>
        <v>3.8</v>
      </c>
      <c r="B68" s="17">
        <f>T52</f>
        <v>-4.945970256685556</v>
      </c>
      <c r="C68" s="18">
        <f>T53</f>
        <v>27.320356189856536</v>
      </c>
      <c r="D68" s="16">
        <f>IF(AND(ISNUMBER(B68),ISNUMBER(C68)),(B68-'point-point model'!B$20)*COS(RADIANS('point-point model'!B$16))-(C68-'point-point model'!B$21)*SIN(RADIANS('point-point model'!B$16)),-999)</f>
        <v>-8.116221872156384</v>
      </c>
      <c r="E68" s="16">
        <f>IF(AND(ISNUMBER(B68),ISNUMBER(C68)),(B68-'point-point model'!B$20)*SIN(RADIANS('point-point model'!B$16))+(C68-'point-point model'!B$21)*COS(RADIANS('point-point model'!B$16)),999)</f>
        <v>29.732384915529348</v>
      </c>
    </row>
    <row r="69" spans="1:5" ht="12.75">
      <c r="A69">
        <f>V39</f>
        <v>3.9</v>
      </c>
      <c r="B69" s="17">
        <f>V52</f>
      </c>
      <c r="C69" s="17">
        <f>V53</f>
      </c>
      <c r="D69" s="16">
        <f>IF(AND(ISNUMBER(B69),ISNUMBER(C69)),(B69-'point-point model'!B$20)*COS(RADIANS('point-point model'!B$16))-(C69-'point-point model'!B$21)*SIN(RADIANS('point-point model'!B$16)),-999)</f>
        <v>-999</v>
      </c>
      <c r="E69" s="16">
        <f>IF(AND(ISNUMBER(B69),ISNUMBER(C69)),(B69-'point-point model'!B$20)*SIN(RADIANS('point-point model'!B$16))+(C69-'point-point model'!B$21)*COS(RADIANS('point-point model'!B$16)),999)</f>
        <v>999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11" sqref="B11"/>
    </sheetView>
  </sheetViews>
  <sheetFormatPr defaultColWidth="9.140625" defaultRowHeight="12.75"/>
  <sheetData>
    <row r="1" spans="1:4" ht="12.75">
      <c r="A1">
        <v>-77.03</v>
      </c>
      <c r="B1">
        <v>516.32</v>
      </c>
      <c r="C1">
        <v>-75.03</v>
      </c>
      <c r="D1">
        <v>514.72</v>
      </c>
    </row>
    <row r="2" spans="1:4" ht="12.75">
      <c r="A2">
        <v>-105.83</v>
      </c>
      <c r="B2">
        <v>665.02</v>
      </c>
      <c r="C2">
        <v>-104.93</v>
      </c>
      <c r="D2">
        <v>664.72</v>
      </c>
    </row>
    <row r="3" spans="1:4" ht="12.75">
      <c r="A3">
        <v>-129.33</v>
      </c>
      <c r="B3">
        <v>794.92</v>
      </c>
      <c r="C3">
        <v>-128.93</v>
      </c>
      <c r="D3">
        <v>795.52</v>
      </c>
    </row>
    <row r="4" spans="1:4" ht="12.75">
      <c r="A4">
        <v>-150.73</v>
      </c>
      <c r="B4">
        <v>916.22</v>
      </c>
      <c r="C4">
        <v>-149.73</v>
      </c>
      <c r="D4">
        <v>915.42</v>
      </c>
    </row>
    <row r="5" spans="1:4" ht="12.75">
      <c r="A5">
        <v>-171.13</v>
      </c>
      <c r="B5">
        <v>1032.42</v>
      </c>
      <c r="C5">
        <v>-171.33</v>
      </c>
      <c r="D5">
        <v>1034.42</v>
      </c>
    </row>
    <row r="6" spans="1:4" ht="12.75">
      <c r="A6">
        <v>-190.73</v>
      </c>
      <c r="B6">
        <v>1145.32</v>
      </c>
      <c r="C6">
        <v>-190.93</v>
      </c>
      <c r="D6">
        <v>1147.22</v>
      </c>
    </row>
    <row r="7" spans="1:4" ht="12.75">
      <c r="A7">
        <v>-209.93</v>
      </c>
      <c r="B7">
        <v>1255.72</v>
      </c>
      <c r="C7">
        <v>-209.83</v>
      </c>
      <c r="D7">
        <v>1256.82</v>
      </c>
    </row>
    <row r="8" spans="1:4" ht="12.75">
      <c r="A8">
        <v>-228.73</v>
      </c>
      <c r="B8">
        <v>1364.42</v>
      </c>
      <c r="C8">
        <v>-231.73</v>
      </c>
      <c r="D8">
        <v>1375.92</v>
      </c>
    </row>
    <row r="9" spans="1:4" ht="12.75">
      <c r="A9">
        <v>-247.23</v>
      </c>
      <c r="B9">
        <v>1471.72</v>
      </c>
      <c r="C9">
        <v>-280.43</v>
      </c>
      <c r="D9">
        <v>1586.72</v>
      </c>
    </row>
    <row r="11" ht="12.75">
      <c r="A11" t="s">
        <v>32</v>
      </c>
    </row>
    <row r="12" ht="12.75">
      <c r="A12" t="s">
        <v>33</v>
      </c>
    </row>
    <row r="13" ht="12.75">
      <c r="A13" t="s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HuskyPC</dc:creator>
  <cp:keywords/>
  <dc:description/>
  <cp:lastModifiedBy>HuskyPC</cp:lastModifiedBy>
  <cp:lastPrinted>2009-08-26T21:42:34Z</cp:lastPrinted>
  <dcterms:created xsi:type="dcterms:W3CDTF">2009-07-28T13:14:27Z</dcterms:created>
  <dcterms:modified xsi:type="dcterms:W3CDTF">2009-11-17T19:13:19Z</dcterms:modified>
  <cp:category/>
  <cp:version/>
  <cp:contentType/>
  <cp:contentStatus/>
</cp:coreProperties>
</file>