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0"/>
  </bookViews>
  <sheets>
    <sheet name="CHESS c1" sheetId="1" r:id="rId1"/>
    <sheet name="Bragg" sheetId="2" r:id="rId2"/>
    <sheet name="absorbers" sheetId="3" r:id="rId3"/>
    <sheet name="work" sheetId="4" r:id="rId4"/>
  </sheets>
  <definedNames/>
  <calcPr fullCalcOnLoad="1"/>
</workbook>
</file>

<file path=xl/sharedStrings.xml><?xml version="1.0" encoding="utf-8"?>
<sst xmlns="http://schemas.openxmlformats.org/spreadsheetml/2006/main" count="520" uniqueCount="160">
  <si>
    <t>h</t>
  </si>
  <si>
    <t>k</t>
  </si>
  <si>
    <t>l</t>
  </si>
  <si>
    <t>a</t>
  </si>
  <si>
    <t>q</t>
  </si>
  <si>
    <t>diamond</t>
  </si>
  <si>
    <t>silicon</t>
  </si>
  <si>
    <t>2q</t>
  </si>
  <si>
    <t>extra rocking curve width from dispersion</t>
  </si>
  <si>
    <t>E</t>
  </si>
  <si>
    <t>Richard Jones, Franz Klein, Guangliang Yang, with Ken Finkelstein CHESS staff scientist</t>
  </si>
  <si>
    <t>Test Run November 1-6, 2006</t>
  </si>
  <si>
    <t>CHESS c1 beam line parameters and configuration worksheet</t>
  </si>
  <si>
    <t>X-ray Bragg peak calculation worksheet</t>
  </si>
  <si>
    <t>Settings for Daresbury measurements, January 2003</t>
  </si>
  <si>
    <t>Settings for CHESS measurements, November 2006</t>
  </si>
  <si>
    <t>asymmetric crystal expansion factor b</t>
  </si>
  <si>
    <t>asymmetric crystal cut angle (degrees)</t>
  </si>
  <si>
    <t>vertical beam divergence FWHM</t>
  </si>
  <si>
    <t>nominal monochromator energy (KeV)</t>
  </si>
  <si>
    <t>extra rocking curve width from divergence</t>
  </si>
  <si>
    <r>
      <t>monochromator rocking curve width (</t>
    </r>
    <r>
      <rPr>
        <sz val="10"/>
        <rFont val="Symbol"/>
        <family val="1"/>
      </rPr>
      <t>m</t>
    </r>
    <r>
      <rPr>
        <sz val="10"/>
        <rFont val="Arial"/>
        <family val="0"/>
      </rPr>
      <t>r)</t>
    </r>
  </si>
  <si>
    <t>monochromator energy spread</t>
  </si>
  <si>
    <t>horizontal beam divergence FWHM</t>
  </si>
  <si>
    <t>extra rocking curve width from hor. div.</t>
  </si>
  <si>
    <t>distance from crystal to camera (mm)</t>
  </si>
  <si>
    <t>horizontal camera resolution (mm)</t>
  </si>
  <si>
    <t>vertical camera resolution (mm)</t>
  </si>
  <si>
    <t>Si(111) attenuation factors</t>
  </si>
  <si>
    <t>Si(333) attenuation factors</t>
  </si>
  <si>
    <t>1 absorb.</t>
  </si>
  <si>
    <t>2 absorb</t>
  </si>
  <si>
    <t>3 absorb</t>
  </si>
  <si>
    <t>aluminum density (g/cm^3)</t>
  </si>
  <si>
    <t>absorption coefficient at 15 KeV (cm^2/g)</t>
  </si>
  <si>
    <t>absorption coefficient at 45 KeV (cm^2/g)</t>
  </si>
  <si>
    <t>Silicon 004 rocking curve width (15KeV)</t>
  </si>
  <si>
    <t>Silicon 004 Bragg angle (degrees)</t>
  </si>
  <si>
    <t>Silicon 004 2-crystal mono energy width (eV)</t>
  </si>
  <si>
    <t>Beam line energy (eV)</t>
  </si>
  <si>
    <t>Diamond 220 Bragg angle</t>
  </si>
  <si>
    <t>Diamond unit cell dimension</t>
  </si>
  <si>
    <t>Diamond 220 rocking curve dispersive contribution</t>
  </si>
  <si>
    <t>Silicon unit cell dimension</t>
  </si>
  <si>
    <t>X-ray absorber calculation worksheet</t>
  </si>
  <si>
    <t>CCD on</t>
  </si>
  <si>
    <t>For a list of scans taken during this run, see the table below.</t>
  </si>
  <si>
    <t>Details of the conditions for each scan are found in file c1_103105_1</t>
  </si>
  <si>
    <t>target</t>
  </si>
  <si>
    <t>beam energy (KeV)</t>
  </si>
  <si>
    <t>special conditions</t>
  </si>
  <si>
    <t xml:space="preserve"> 1-4</t>
  </si>
  <si>
    <t>bad boy</t>
  </si>
  <si>
    <t>N</t>
  </si>
  <si>
    <t>none</t>
  </si>
  <si>
    <t>detector alignment</t>
  </si>
  <si>
    <t>target alignment</t>
  </si>
  <si>
    <t xml:space="preserve">" </t>
  </si>
  <si>
    <t xml:space="preserve">     "    </t>
  </si>
  <si>
    <t>Y</t>
  </si>
  <si>
    <t>test of CCD camera</t>
  </si>
  <si>
    <t>scan number</t>
  </si>
  <si>
    <t>alignment on [0 4 0]</t>
  </si>
  <si>
    <t>centered on [0 4 0]</t>
  </si>
  <si>
    <t xml:space="preserve"> 74-75</t>
  </si>
  <si>
    <t>alignment on [-4 0 0]</t>
  </si>
  <si>
    <t>centered on [-4 0 0]</t>
  </si>
  <si>
    <t xml:space="preserve"> 77-81</t>
  </si>
  <si>
    <t>realignment on [-4 0 0]</t>
  </si>
  <si>
    <t>recentered on [-4 0 0]</t>
  </si>
  <si>
    <t>83-89</t>
  </si>
  <si>
    <t>centered on [-2 2 0]</t>
  </si>
  <si>
    <t>alignment on [-2 2 0]</t>
  </si>
  <si>
    <t>alignment on [2 2 0]</t>
  </si>
  <si>
    <t>search around [-2 2 0]</t>
  </si>
  <si>
    <t>91-115</t>
  </si>
  <si>
    <t>127-131</t>
  </si>
  <si>
    <t>good 50</t>
  </si>
  <si>
    <t>search for [2 2 0]</t>
  </si>
  <si>
    <t>132-134</t>
  </si>
  <si>
    <t>centered on [2 2 0]</t>
  </si>
  <si>
    <t>142-144</t>
  </si>
  <si>
    <t>135-141</t>
  </si>
  <si>
    <t>145-177</t>
  </si>
  <si>
    <t>searching for [-2 2 0]</t>
  </si>
  <si>
    <t>178-180</t>
  </si>
  <si>
    <t>realignment on [-2 2 0]</t>
  </si>
  <si>
    <t>185-201</t>
  </si>
  <si>
    <t>202-205</t>
  </si>
  <si>
    <t>scanning [2 2 0] in phi</t>
  </si>
  <si>
    <r>
      <t>aligning in 2</t>
    </r>
    <r>
      <rPr>
        <sz val="10"/>
        <rFont val="Symbol"/>
        <family val="1"/>
      </rPr>
      <t>q</t>
    </r>
  </si>
  <si>
    <t>224-225</t>
  </si>
  <si>
    <t>226-228</t>
  </si>
  <si>
    <t>bad 50</t>
  </si>
  <si>
    <t xml:space="preserve">     "</t>
  </si>
  <si>
    <t>232-236</t>
  </si>
  <si>
    <t>238-249</t>
  </si>
  <si>
    <t>20 micron</t>
  </si>
  <si>
    <t>251-255</t>
  </si>
  <si>
    <t>257-267</t>
  </si>
  <si>
    <t>269-270</t>
  </si>
  <si>
    <t>272-274</t>
  </si>
  <si>
    <t>181-182</t>
  </si>
  <si>
    <t xml:space="preserve">   " </t>
  </si>
  <si>
    <t>[2 2 0] topograph scan</t>
  </si>
  <si>
    <t>216-222</t>
  </si>
  <si>
    <t>206-213</t>
  </si>
  <si>
    <t>216-217</t>
  </si>
  <si>
    <t>repeat scans</t>
  </si>
  <si>
    <t>searching for [2 2 0]</t>
  </si>
  <si>
    <t>279-289</t>
  </si>
  <si>
    <t>sanity check at 15 KeV</t>
  </si>
  <si>
    <t>296-299</t>
  </si>
  <si>
    <t>searching with I1</t>
  </si>
  <si>
    <t>CCD camera images</t>
  </si>
  <si>
    <t>30s topograph scan</t>
  </si>
  <si>
    <t>another scan with I1</t>
  </si>
  <si>
    <t>303-315</t>
  </si>
  <si>
    <t>[-2 2 0] topograph scan</t>
  </si>
  <si>
    <t>[-4 0 0] topograph scan</t>
  </si>
  <si>
    <t>[0 4 0] topograph scan</t>
  </si>
  <si>
    <t>317-320</t>
  </si>
  <si>
    <t>[-2 2 0] CCD snapshots</t>
  </si>
  <si>
    <t>[0 4 0] CCD snapshots</t>
  </si>
  <si>
    <t>repeat 325 with finer scan</t>
  </si>
  <si>
    <t>328-341</t>
  </si>
  <si>
    <t>vibration study on [-2 2 0]</t>
  </si>
  <si>
    <t>Here we switched to using a second monochromator (Si [2 2 0] channel-cut pair to improve rocking curve resolution</t>
  </si>
  <si>
    <t>342-343</t>
  </si>
  <si>
    <t>349-350</t>
  </si>
  <si>
    <t>[2 2 0] CCD snapshots</t>
  </si>
  <si>
    <t>352-355</t>
  </si>
  <si>
    <t xml:space="preserve">alignment on [2 2 0] </t>
  </si>
  <si>
    <t>357-363</t>
  </si>
  <si>
    <t>[2 2 0] theta scans</t>
  </si>
  <si>
    <t>364-375</t>
  </si>
  <si>
    <t>exploration around [-2 2 0]</t>
  </si>
  <si>
    <t>378-385</t>
  </si>
  <si>
    <t>exploration around [0 4 0]</t>
  </si>
  <si>
    <t>386-393</t>
  </si>
  <si>
    <t>394-396</t>
  </si>
  <si>
    <t>[2 2 0] topograph scan (500 points)</t>
  </si>
  <si>
    <t>previous scan extended backwards</t>
  </si>
  <si>
    <t>failed run</t>
  </si>
  <si>
    <t>previous scan extended (3 points only)</t>
  </si>
  <si>
    <t>previous scan extended (100 points)</t>
  </si>
  <si>
    <t>alignment to [-2 2 0]</t>
  </si>
  <si>
    <t>410-413</t>
  </si>
  <si>
    <t>[-2 2 0] topograph scan (450 points)</t>
  </si>
  <si>
    <t xml:space="preserve"> 16-32</t>
  </si>
  <si>
    <t>34-36</t>
  </si>
  <si>
    <t>37-72</t>
  </si>
  <si>
    <t>[0 4 0] topograph scans</t>
  </si>
  <si>
    <t>scans around [0 4 0]</t>
  </si>
  <si>
    <t>116-125</t>
  </si>
  <si>
    <t>291-294</t>
  </si>
  <si>
    <t>398-403</t>
  </si>
  <si>
    <t>Here we tried to take some photographic exposures of the [-2 2 0] rocking curve, but not much is visible there (see log book)</t>
  </si>
  <si>
    <t>346-348</t>
  </si>
  <si>
    <t>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</si>
</sst>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E+00"/>
    <numFmt numFmtId="165" formatCode="0.0000"/>
    <numFmt numFmtId="166" formatCode="0.000E+00"/>
    <numFmt numFmtId="167" formatCode="0.000"/>
    <numFmt numFmtId="168" formatCode="0.0000E+00"/>
    <numFmt numFmtId="169" formatCode="&quot;$&quot;#,##0.00"/>
    <numFmt numFmtId="170" formatCode="0.0000000E+00"/>
  </numFmts>
  <fonts count="8">
    <font>
      <sz val="10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7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73">
      <selection activeCell="L90" sqref="L90"/>
    </sheetView>
  </sheetViews>
  <sheetFormatPr defaultColWidth="9.140625" defaultRowHeight="12.75"/>
  <cols>
    <col min="5" max="5" width="10.8515625" style="0" customWidth="1"/>
    <col min="6" max="6" width="11.28125" style="0" customWidth="1"/>
    <col min="7" max="7" width="11.421875" style="0" customWidth="1"/>
  </cols>
  <sheetData>
    <row r="1" ht="20.25">
      <c r="A1" s="7" t="s">
        <v>12</v>
      </c>
    </row>
    <row r="2" ht="15">
      <c r="A2" s="8" t="s">
        <v>10</v>
      </c>
    </row>
    <row r="3" ht="15">
      <c r="A3" s="8" t="s">
        <v>11</v>
      </c>
    </row>
    <row r="6" ht="12.75">
      <c r="A6" t="s">
        <v>46</v>
      </c>
    </row>
    <row r="7" ht="12.75">
      <c r="A7" t="s">
        <v>47</v>
      </c>
    </row>
    <row r="9" spans="1:9" ht="12.75">
      <c r="A9" s="18" t="s">
        <v>61</v>
      </c>
      <c r="B9" s="18"/>
      <c r="C9" s="18" t="s">
        <v>49</v>
      </c>
      <c r="D9" s="18"/>
      <c r="E9" s="18"/>
      <c r="F9" s="18" t="s">
        <v>48</v>
      </c>
      <c r="G9" s="18" t="s">
        <v>45</v>
      </c>
      <c r="H9" s="18" t="s">
        <v>50</v>
      </c>
      <c r="I9" s="18"/>
    </row>
    <row r="10" spans="1:8" ht="12.75">
      <c r="A10" s="20" t="s">
        <v>51</v>
      </c>
      <c r="C10">
        <v>15</v>
      </c>
      <c r="F10" t="s">
        <v>54</v>
      </c>
      <c r="G10" s="1" t="s">
        <v>53</v>
      </c>
      <c r="H10" t="s">
        <v>55</v>
      </c>
    </row>
    <row r="11" spans="1:8" ht="12.75">
      <c r="A11" s="21">
        <v>15</v>
      </c>
      <c r="B11" s="19"/>
      <c r="C11" s="24" t="s">
        <v>57</v>
      </c>
      <c r="F11" t="s">
        <v>52</v>
      </c>
      <c r="G11" s="1" t="s">
        <v>53</v>
      </c>
      <c r="H11" t="s">
        <v>56</v>
      </c>
    </row>
    <row r="12" spans="1:8" ht="12.75">
      <c r="A12" s="22" t="s">
        <v>149</v>
      </c>
      <c r="C12" s="24" t="s">
        <v>57</v>
      </c>
      <c r="F12" t="s">
        <v>58</v>
      </c>
      <c r="G12" s="1" t="s">
        <v>59</v>
      </c>
      <c r="H12" t="s">
        <v>60</v>
      </c>
    </row>
    <row r="13" spans="1:8" ht="12.75">
      <c r="A13" s="21">
        <v>33</v>
      </c>
      <c r="C13" s="24" t="s">
        <v>57</v>
      </c>
      <c r="F13" t="s">
        <v>58</v>
      </c>
      <c r="G13" s="1" t="s">
        <v>53</v>
      </c>
      <c r="H13" t="s">
        <v>62</v>
      </c>
    </row>
    <row r="14" spans="1:8" ht="12.75">
      <c r="A14" s="21" t="s">
        <v>150</v>
      </c>
      <c r="C14" s="24" t="s">
        <v>57</v>
      </c>
      <c r="F14" t="s">
        <v>58</v>
      </c>
      <c r="G14" s="1" t="s">
        <v>59</v>
      </c>
      <c r="H14" t="s">
        <v>152</v>
      </c>
    </row>
    <row r="15" spans="1:8" ht="12.75">
      <c r="A15" s="21" t="s">
        <v>151</v>
      </c>
      <c r="C15" s="24" t="s">
        <v>57</v>
      </c>
      <c r="F15" t="s">
        <v>58</v>
      </c>
      <c r="G15" s="1" t="s">
        <v>53</v>
      </c>
      <c r="H15" t="s">
        <v>153</v>
      </c>
    </row>
    <row r="16" spans="1:8" ht="12.75">
      <c r="A16" s="21">
        <v>73</v>
      </c>
      <c r="C16" s="24" t="s">
        <v>57</v>
      </c>
      <c r="F16" t="s">
        <v>58</v>
      </c>
      <c r="G16" s="1" t="s">
        <v>53</v>
      </c>
      <c r="H16" t="s">
        <v>63</v>
      </c>
    </row>
    <row r="17" spans="1:8" ht="12.75">
      <c r="A17" s="22" t="s">
        <v>64</v>
      </c>
      <c r="C17" s="24" t="s">
        <v>57</v>
      </c>
      <c r="F17" t="s">
        <v>58</v>
      </c>
      <c r="G17" s="1" t="s">
        <v>53</v>
      </c>
      <c r="H17" t="s">
        <v>65</v>
      </c>
    </row>
    <row r="18" spans="1:8" ht="12.75">
      <c r="A18" s="21">
        <v>76</v>
      </c>
      <c r="C18" s="24" t="s">
        <v>57</v>
      </c>
      <c r="F18" t="s">
        <v>58</v>
      </c>
      <c r="G18" s="1" t="s">
        <v>53</v>
      </c>
      <c r="H18" t="s">
        <v>66</v>
      </c>
    </row>
    <row r="19" spans="1:8" ht="12.75">
      <c r="A19" s="21" t="s">
        <v>67</v>
      </c>
      <c r="C19" s="24" t="s">
        <v>57</v>
      </c>
      <c r="F19" t="s">
        <v>58</v>
      </c>
      <c r="G19" s="1" t="s">
        <v>53</v>
      </c>
      <c r="H19" t="s">
        <v>68</v>
      </c>
    </row>
    <row r="20" spans="1:8" ht="12.75">
      <c r="A20" s="23">
        <v>82</v>
      </c>
      <c r="C20" s="24" t="s">
        <v>57</v>
      </c>
      <c r="F20" t="s">
        <v>58</v>
      </c>
      <c r="G20" s="1" t="s">
        <v>53</v>
      </c>
      <c r="H20" t="s">
        <v>69</v>
      </c>
    </row>
    <row r="21" spans="1:8" ht="12.75">
      <c r="A21" s="21" t="s">
        <v>70</v>
      </c>
      <c r="C21" s="24" t="s">
        <v>57</v>
      </c>
      <c r="F21" t="s">
        <v>58</v>
      </c>
      <c r="G21" s="1" t="s">
        <v>53</v>
      </c>
      <c r="H21" t="s">
        <v>72</v>
      </c>
    </row>
    <row r="22" spans="1:8" ht="12.75">
      <c r="A22" s="21">
        <v>90</v>
      </c>
      <c r="C22" s="24" t="s">
        <v>57</v>
      </c>
      <c r="F22" t="s">
        <v>58</v>
      </c>
      <c r="G22" s="1" t="s">
        <v>53</v>
      </c>
      <c r="H22" t="s">
        <v>71</v>
      </c>
    </row>
    <row r="23" spans="1:8" ht="12.75">
      <c r="A23" s="21" t="s">
        <v>75</v>
      </c>
      <c r="C23" s="24" t="s">
        <v>57</v>
      </c>
      <c r="F23" t="s">
        <v>58</v>
      </c>
      <c r="G23" s="1" t="s">
        <v>53</v>
      </c>
      <c r="H23" t="s">
        <v>73</v>
      </c>
    </row>
    <row r="24" spans="1:8" ht="12.75">
      <c r="A24" s="21" t="s">
        <v>154</v>
      </c>
      <c r="C24" s="24" t="s">
        <v>57</v>
      </c>
      <c r="F24" t="s">
        <v>58</v>
      </c>
      <c r="G24" s="1" t="s">
        <v>53</v>
      </c>
      <c r="H24" t="s">
        <v>74</v>
      </c>
    </row>
    <row r="25" spans="1:8" ht="12.75">
      <c r="A25" s="21">
        <v>126</v>
      </c>
      <c r="C25" s="24" t="s">
        <v>57</v>
      </c>
      <c r="F25" t="s">
        <v>58</v>
      </c>
      <c r="G25" s="1" t="s">
        <v>59</v>
      </c>
      <c r="H25" t="s">
        <v>118</v>
      </c>
    </row>
    <row r="26" spans="1:8" ht="12.75">
      <c r="A26" s="21" t="s">
        <v>76</v>
      </c>
      <c r="C26" s="24" t="s">
        <v>57</v>
      </c>
      <c r="F26" t="s">
        <v>77</v>
      </c>
      <c r="G26" s="1" t="s">
        <v>53</v>
      </c>
      <c r="H26" t="s">
        <v>78</v>
      </c>
    </row>
    <row r="27" spans="1:8" ht="12.75">
      <c r="A27" s="21" t="s">
        <v>79</v>
      </c>
      <c r="C27" s="24" t="s">
        <v>57</v>
      </c>
      <c r="F27" t="s">
        <v>58</v>
      </c>
      <c r="G27" s="1" t="s">
        <v>53</v>
      </c>
      <c r="H27" t="s">
        <v>80</v>
      </c>
    </row>
    <row r="28" spans="1:8" ht="12.75">
      <c r="A28" s="21" t="s">
        <v>82</v>
      </c>
      <c r="C28" s="24" t="s">
        <v>57</v>
      </c>
      <c r="F28" t="s">
        <v>58</v>
      </c>
      <c r="G28" s="1" t="s">
        <v>53</v>
      </c>
      <c r="H28" t="s">
        <v>72</v>
      </c>
    </row>
    <row r="29" spans="1:8" ht="12.75">
      <c r="A29" s="21" t="s">
        <v>81</v>
      </c>
      <c r="C29" s="24" t="s">
        <v>57</v>
      </c>
      <c r="F29" t="s">
        <v>58</v>
      </c>
      <c r="G29" s="1" t="s">
        <v>53</v>
      </c>
      <c r="H29" t="s">
        <v>71</v>
      </c>
    </row>
    <row r="30" spans="1:8" ht="12.75">
      <c r="A30" s="21" t="s">
        <v>83</v>
      </c>
      <c r="C30" s="24" t="s">
        <v>57</v>
      </c>
      <c r="F30" t="s">
        <v>58</v>
      </c>
      <c r="G30" s="1" t="s">
        <v>53</v>
      </c>
      <c r="H30" t="s">
        <v>84</v>
      </c>
    </row>
    <row r="31" spans="1:8" ht="12.75">
      <c r="A31" s="21" t="s">
        <v>85</v>
      </c>
      <c r="C31" s="24" t="s">
        <v>57</v>
      </c>
      <c r="F31" t="s">
        <v>58</v>
      </c>
      <c r="G31" s="1" t="s">
        <v>53</v>
      </c>
      <c r="H31" t="s">
        <v>71</v>
      </c>
    </row>
    <row r="32" spans="1:8" ht="12.75">
      <c r="A32" s="21" t="s">
        <v>102</v>
      </c>
      <c r="C32" s="24" t="s">
        <v>57</v>
      </c>
      <c r="F32" t="s">
        <v>58</v>
      </c>
      <c r="G32" s="1" t="s">
        <v>53</v>
      </c>
      <c r="H32" t="s">
        <v>86</v>
      </c>
    </row>
    <row r="33" spans="1:8" ht="12.75">
      <c r="A33" s="21">
        <v>183</v>
      </c>
      <c r="C33" s="24" t="s">
        <v>103</v>
      </c>
      <c r="F33" t="s">
        <v>58</v>
      </c>
      <c r="G33" s="1" t="s">
        <v>59</v>
      </c>
      <c r="H33" t="s">
        <v>118</v>
      </c>
    </row>
    <row r="34" spans="1:8" ht="12.75">
      <c r="A34" s="21">
        <v>184</v>
      </c>
      <c r="C34" s="24" t="s">
        <v>103</v>
      </c>
      <c r="F34" t="s">
        <v>58</v>
      </c>
      <c r="G34" s="1" t="s">
        <v>59</v>
      </c>
      <c r="H34" t="s">
        <v>71</v>
      </c>
    </row>
    <row r="35" spans="1:8" ht="12.75">
      <c r="A35" s="21" t="s">
        <v>87</v>
      </c>
      <c r="C35" s="24" t="s">
        <v>57</v>
      </c>
      <c r="F35" t="s">
        <v>58</v>
      </c>
      <c r="G35" s="1" t="s">
        <v>59</v>
      </c>
      <c r="H35" t="s">
        <v>90</v>
      </c>
    </row>
    <row r="36" spans="1:8" ht="12.75">
      <c r="A36" s="21" t="s">
        <v>88</v>
      </c>
      <c r="C36" s="24" t="s">
        <v>57</v>
      </c>
      <c r="F36" t="s">
        <v>58</v>
      </c>
      <c r="G36" s="1" t="s">
        <v>53</v>
      </c>
      <c r="H36" t="s">
        <v>89</v>
      </c>
    </row>
    <row r="37" spans="1:8" ht="12.75">
      <c r="A37" s="21" t="s">
        <v>106</v>
      </c>
      <c r="C37" s="24" t="s">
        <v>57</v>
      </c>
      <c r="F37" t="s">
        <v>97</v>
      </c>
      <c r="G37" s="1" t="s">
        <v>53</v>
      </c>
      <c r="H37" t="s">
        <v>72</v>
      </c>
    </row>
    <row r="38" spans="1:8" ht="12.75">
      <c r="A38" s="21">
        <v>214</v>
      </c>
      <c r="C38" s="24" t="s">
        <v>57</v>
      </c>
      <c r="F38" t="s">
        <v>58</v>
      </c>
      <c r="G38" s="1" t="s">
        <v>59</v>
      </c>
      <c r="H38" t="s">
        <v>104</v>
      </c>
    </row>
    <row r="39" spans="1:8" ht="12.75">
      <c r="A39" s="21">
        <v>215</v>
      </c>
      <c r="C39" s="24" t="s">
        <v>57</v>
      </c>
      <c r="F39" t="s">
        <v>93</v>
      </c>
      <c r="G39" s="1" t="s">
        <v>59</v>
      </c>
      <c r="H39" t="s">
        <v>104</v>
      </c>
    </row>
    <row r="40" spans="1:8" ht="12.75">
      <c r="A40" s="21" t="s">
        <v>107</v>
      </c>
      <c r="C40" s="24" t="s">
        <v>57</v>
      </c>
      <c r="F40" t="s">
        <v>58</v>
      </c>
      <c r="G40" s="1" t="s">
        <v>53</v>
      </c>
      <c r="H40" t="s">
        <v>108</v>
      </c>
    </row>
    <row r="41" spans="1:8" ht="12.75">
      <c r="A41" s="21" t="s">
        <v>105</v>
      </c>
      <c r="C41" s="24" t="s">
        <v>57</v>
      </c>
      <c r="F41" t="s">
        <v>77</v>
      </c>
      <c r="G41" s="1" t="s">
        <v>53</v>
      </c>
      <c r="H41" t="s">
        <v>72</v>
      </c>
    </row>
    <row r="42" spans="1:8" ht="12.75">
      <c r="A42">
        <v>223</v>
      </c>
      <c r="C42" s="24" t="s">
        <v>57</v>
      </c>
      <c r="F42" t="s">
        <v>58</v>
      </c>
      <c r="G42" s="1" t="s">
        <v>53</v>
      </c>
      <c r="H42" t="s">
        <v>71</v>
      </c>
    </row>
    <row r="43" spans="1:8" ht="12.75">
      <c r="A43" s="24" t="s">
        <v>91</v>
      </c>
      <c r="C43" s="24" t="s">
        <v>57</v>
      </c>
      <c r="F43" t="s">
        <v>58</v>
      </c>
      <c r="G43" s="1" t="s">
        <v>53</v>
      </c>
      <c r="H43" t="s">
        <v>63</v>
      </c>
    </row>
    <row r="44" spans="1:8" ht="12.75">
      <c r="A44" s="24" t="s">
        <v>92</v>
      </c>
      <c r="C44" s="24" t="s">
        <v>57</v>
      </c>
      <c r="F44" t="s">
        <v>58</v>
      </c>
      <c r="G44" s="1" t="s">
        <v>53</v>
      </c>
      <c r="H44" t="s">
        <v>65</v>
      </c>
    </row>
    <row r="45" spans="1:8" ht="12.75">
      <c r="A45" s="24">
        <v>229</v>
      </c>
      <c r="C45" s="24" t="s">
        <v>57</v>
      </c>
      <c r="F45" t="s">
        <v>94</v>
      </c>
      <c r="G45" s="1" t="s">
        <v>53</v>
      </c>
      <c r="H45" t="s">
        <v>66</v>
      </c>
    </row>
    <row r="46" spans="1:8" ht="12.75">
      <c r="A46" s="24">
        <v>230</v>
      </c>
      <c r="C46" s="24" t="s">
        <v>57</v>
      </c>
      <c r="F46" t="s">
        <v>93</v>
      </c>
      <c r="G46" s="1" t="s">
        <v>53</v>
      </c>
      <c r="H46" t="s">
        <v>73</v>
      </c>
    </row>
    <row r="47" spans="1:8" ht="12.75">
      <c r="A47" s="24">
        <v>231</v>
      </c>
      <c r="C47" s="24" t="s">
        <v>57</v>
      </c>
      <c r="F47" t="s">
        <v>58</v>
      </c>
      <c r="G47" s="1" t="s">
        <v>53</v>
      </c>
      <c r="H47" t="s">
        <v>80</v>
      </c>
    </row>
    <row r="48" spans="1:8" ht="12.75">
      <c r="A48" s="24" t="s">
        <v>95</v>
      </c>
      <c r="C48" s="24" t="s">
        <v>57</v>
      </c>
      <c r="F48" t="s">
        <v>58</v>
      </c>
      <c r="G48" s="1" t="s">
        <v>53</v>
      </c>
      <c r="H48" t="s">
        <v>72</v>
      </c>
    </row>
    <row r="49" spans="1:8" ht="12.75">
      <c r="A49" s="24">
        <v>237</v>
      </c>
      <c r="C49" s="24" t="s">
        <v>57</v>
      </c>
      <c r="F49" t="s">
        <v>58</v>
      </c>
      <c r="G49" s="1" t="s">
        <v>53</v>
      </c>
      <c r="H49" t="s">
        <v>71</v>
      </c>
    </row>
    <row r="50" spans="1:8" ht="12.75">
      <c r="A50" s="24" t="s">
        <v>96</v>
      </c>
      <c r="C50" s="24" t="s">
        <v>57</v>
      </c>
      <c r="F50" t="s">
        <v>58</v>
      </c>
      <c r="G50" s="1" t="s">
        <v>53</v>
      </c>
      <c r="H50" t="s">
        <v>62</v>
      </c>
    </row>
    <row r="51" spans="1:8" ht="12.75">
      <c r="A51">
        <v>250</v>
      </c>
      <c r="C51" s="24" t="s">
        <v>57</v>
      </c>
      <c r="F51" t="s">
        <v>58</v>
      </c>
      <c r="G51" s="1" t="s">
        <v>53</v>
      </c>
      <c r="H51" t="s">
        <v>63</v>
      </c>
    </row>
    <row r="52" spans="1:8" ht="12.75">
      <c r="A52" s="24" t="s">
        <v>98</v>
      </c>
      <c r="C52" s="24" t="s">
        <v>57</v>
      </c>
      <c r="F52" t="s">
        <v>97</v>
      </c>
      <c r="G52" s="1" t="s">
        <v>53</v>
      </c>
      <c r="H52" t="s">
        <v>73</v>
      </c>
    </row>
    <row r="53" spans="1:8" ht="12.75">
      <c r="A53">
        <v>256</v>
      </c>
      <c r="C53" s="24" t="s">
        <v>57</v>
      </c>
      <c r="F53" t="s">
        <v>58</v>
      </c>
      <c r="G53" s="1" t="s">
        <v>53</v>
      </c>
      <c r="H53" t="s">
        <v>80</v>
      </c>
    </row>
    <row r="54" spans="1:8" ht="12.75">
      <c r="A54" s="24" t="s">
        <v>99</v>
      </c>
      <c r="C54" s="24" t="s">
        <v>57</v>
      </c>
      <c r="F54" t="s">
        <v>58</v>
      </c>
      <c r="G54" s="1" t="s">
        <v>53</v>
      </c>
      <c r="H54" t="s">
        <v>72</v>
      </c>
    </row>
    <row r="55" spans="1:8" ht="12.75">
      <c r="A55" s="24">
        <v>268</v>
      </c>
      <c r="C55" s="24" t="s">
        <v>57</v>
      </c>
      <c r="F55" t="s">
        <v>58</v>
      </c>
      <c r="G55" s="1" t="s">
        <v>53</v>
      </c>
      <c r="H55" t="s">
        <v>71</v>
      </c>
    </row>
    <row r="56" spans="1:8" ht="12.75">
      <c r="A56" s="24" t="s">
        <v>100</v>
      </c>
      <c r="C56" s="24" t="s">
        <v>57</v>
      </c>
      <c r="F56" t="s">
        <v>58</v>
      </c>
      <c r="G56" s="1" t="s">
        <v>53</v>
      </c>
      <c r="H56" t="s">
        <v>62</v>
      </c>
    </row>
    <row r="57" spans="1:8" ht="12.75">
      <c r="A57" s="24">
        <v>271</v>
      </c>
      <c r="C57" s="24" t="s">
        <v>57</v>
      </c>
      <c r="F57" t="s">
        <v>58</v>
      </c>
      <c r="G57" s="1" t="s">
        <v>53</v>
      </c>
      <c r="H57" t="s">
        <v>63</v>
      </c>
    </row>
    <row r="58" spans="1:8" ht="12.75">
      <c r="A58" s="24" t="s">
        <v>101</v>
      </c>
      <c r="C58" s="24" t="s">
        <v>57</v>
      </c>
      <c r="F58" t="s">
        <v>58</v>
      </c>
      <c r="G58" s="1" t="s">
        <v>53</v>
      </c>
      <c r="H58" t="s">
        <v>65</v>
      </c>
    </row>
    <row r="59" spans="1:8" ht="12.75">
      <c r="A59" s="24">
        <v>275</v>
      </c>
      <c r="C59" s="24" t="s">
        <v>57</v>
      </c>
      <c r="F59" t="s">
        <v>58</v>
      </c>
      <c r="G59" s="1" t="s">
        <v>53</v>
      </c>
      <c r="H59" t="s">
        <v>66</v>
      </c>
    </row>
    <row r="60" spans="1:8" ht="12.75">
      <c r="A60" s="24">
        <v>276</v>
      </c>
      <c r="C60" s="24" t="s">
        <v>57</v>
      </c>
      <c r="F60" t="s">
        <v>58</v>
      </c>
      <c r="G60" s="1" t="s">
        <v>59</v>
      </c>
      <c r="H60" t="s">
        <v>119</v>
      </c>
    </row>
    <row r="61" spans="1:8" ht="12.75">
      <c r="A61" s="24">
        <v>277</v>
      </c>
      <c r="C61" s="24" t="s">
        <v>57</v>
      </c>
      <c r="F61" t="s">
        <v>58</v>
      </c>
      <c r="G61" s="1" t="s">
        <v>59</v>
      </c>
      <c r="H61" t="s">
        <v>120</v>
      </c>
    </row>
    <row r="62" spans="1:8" ht="12.75">
      <c r="A62" s="24">
        <v>278</v>
      </c>
      <c r="C62" s="24" t="s">
        <v>57</v>
      </c>
      <c r="F62" t="s">
        <v>58</v>
      </c>
      <c r="G62" s="1" t="s">
        <v>59</v>
      </c>
      <c r="H62" t="s">
        <v>120</v>
      </c>
    </row>
    <row r="63" spans="1:8" ht="12.75">
      <c r="A63" s="24" t="s">
        <v>110</v>
      </c>
      <c r="C63" s="24">
        <v>45</v>
      </c>
      <c r="F63" t="s">
        <v>58</v>
      </c>
      <c r="G63" s="1" t="s">
        <v>53</v>
      </c>
      <c r="H63" t="s">
        <v>109</v>
      </c>
    </row>
    <row r="64" spans="1:8" ht="12.75">
      <c r="A64" s="24">
        <v>290</v>
      </c>
      <c r="C64">
        <v>15</v>
      </c>
      <c r="F64" t="s">
        <v>58</v>
      </c>
      <c r="G64" s="1" t="s">
        <v>53</v>
      </c>
      <c r="H64" t="s">
        <v>111</v>
      </c>
    </row>
    <row r="65" spans="1:8" ht="12.75">
      <c r="A65" s="24" t="s">
        <v>155</v>
      </c>
      <c r="C65">
        <v>45</v>
      </c>
      <c r="F65" t="s">
        <v>58</v>
      </c>
      <c r="G65" s="1" t="s">
        <v>53</v>
      </c>
      <c r="H65" t="s">
        <v>113</v>
      </c>
    </row>
    <row r="66" spans="1:8" ht="12.75">
      <c r="A66" s="24">
        <v>295</v>
      </c>
      <c r="C66" s="24" t="s">
        <v>57</v>
      </c>
      <c r="F66" t="s">
        <v>58</v>
      </c>
      <c r="G66" s="1" t="s">
        <v>59</v>
      </c>
      <c r="H66" t="s">
        <v>104</v>
      </c>
    </row>
    <row r="67" spans="1:8" ht="12.75">
      <c r="A67" s="24" t="s">
        <v>112</v>
      </c>
      <c r="C67" s="24" t="s">
        <v>57</v>
      </c>
      <c r="F67" t="s">
        <v>58</v>
      </c>
      <c r="G67" s="1" t="s">
        <v>59</v>
      </c>
      <c r="H67" t="s">
        <v>114</v>
      </c>
    </row>
    <row r="68" spans="1:8" ht="12.75">
      <c r="A68" s="24">
        <v>300</v>
      </c>
      <c r="C68" s="24" t="s">
        <v>57</v>
      </c>
      <c r="F68" t="s">
        <v>58</v>
      </c>
      <c r="G68" s="1" t="s">
        <v>59</v>
      </c>
      <c r="H68" t="s">
        <v>115</v>
      </c>
    </row>
    <row r="69" spans="1:8" ht="12.75">
      <c r="A69" s="24">
        <v>301</v>
      </c>
      <c r="C69" s="24" t="s">
        <v>57</v>
      </c>
      <c r="F69" t="s">
        <v>58</v>
      </c>
      <c r="G69" s="1" t="s">
        <v>53</v>
      </c>
      <c r="H69" t="s">
        <v>116</v>
      </c>
    </row>
    <row r="70" spans="1:8" ht="12.75">
      <c r="A70" s="24">
        <v>302</v>
      </c>
      <c r="C70">
        <v>15</v>
      </c>
      <c r="F70" t="s">
        <v>93</v>
      </c>
      <c r="G70" s="1" t="s">
        <v>59</v>
      </c>
      <c r="H70" t="s">
        <v>104</v>
      </c>
    </row>
    <row r="71" spans="1:8" ht="12.75">
      <c r="A71" s="24" t="s">
        <v>117</v>
      </c>
      <c r="C71" s="24" t="s">
        <v>57</v>
      </c>
      <c r="F71" t="s">
        <v>58</v>
      </c>
      <c r="G71" s="1" t="s">
        <v>59</v>
      </c>
      <c r="H71" t="s">
        <v>122</v>
      </c>
    </row>
    <row r="72" spans="1:8" ht="12.75">
      <c r="A72" s="24">
        <v>316</v>
      </c>
      <c r="C72" s="24" t="s">
        <v>57</v>
      </c>
      <c r="F72" t="s">
        <v>58</v>
      </c>
      <c r="G72" s="1" t="s">
        <v>59</v>
      </c>
      <c r="H72" t="s">
        <v>118</v>
      </c>
    </row>
    <row r="73" spans="1:8" ht="12.75">
      <c r="A73" s="24" t="s">
        <v>121</v>
      </c>
      <c r="C73" s="24" t="s">
        <v>57</v>
      </c>
      <c r="F73" t="s">
        <v>58</v>
      </c>
      <c r="G73" s="1" t="s">
        <v>59</v>
      </c>
      <c r="H73" t="s">
        <v>123</v>
      </c>
    </row>
    <row r="74" spans="1:8" ht="12.75">
      <c r="A74" s="24">
        <v>321</v>
      </c>
      <c r="C74" s="24" t="s">
        <v>57</v>
      </c>
      <c r="F74" t="s">
        <v>58</v>
      </c>
      <c r="G74" s="1" t="s">
        <v>59</v>
      </c>
      <c r="H74" t="s">
        <v>120</v>
      </c>
    </row>
    <row r="75" spans="1:8" ht="12.75">
      <c r="A75" s="24">
        <v>322</v>
      </c>
      <c r="C75" s="24" t="s">
        <v>57</v>
      </c>
      <c r="F75" t="s">
        <v>77</v>
      </c>
      <c r="G75" s="1" t="s">
        <v>53</v>
      </c>
      <c r="H75" t="s">
        <v>73</v>
      </c>
    </row>
    <row r="76" spans="1:8" ht="12.75">
      <c r="A76" s="24">
        <v>323</v>
      </c>
      <c r="C76" s="24" t="s">
        <v>57</v>
      </c>
      <c r="F76" t="s">
        <v>58</v>
      </c>
      <c r="G76" s="1" t="s">
        <v>59</v>
      </c>
      <c r="H76" t="s">
        <v>104</v>
      </c>
    </row>
    <row r="77" spans="1:8" ht="12.75">
      <c r="A77" s="24">
        <v>324</v>
      </c>
      <c r="C77" s="24" t="s">
        <v>57</v>
      </c>
      <c r="F77" t="s">
        <v>58</v>
      </c>
      <c r="G77" s="1" t="s">
        <v>53</v>
      </c>
      <c r="H77" t="s">
        <v>72</v>
      </c>
    </row>
    <row r="78" spans="1:8" ht="12.75">
      <c r="A78" s="24">
        <v>325</v>
      </c>
      <c r="C78" s="24" t="s">
        <v>57</v>
      </c>
      <c r="F78" t="s">
        <v>58</v>
      </c>
      <c r="G78" s="1" t="s">
        <v>59</v>
      </c>
      <c r="H78" t="s">
        <v>118</v>
      </c>
    </row>
    <row r="79" spans="1:8" ht="12.75">
      <c r="A79" s="24">
        <v>326</v>
      </c>
      <c r="C79" s="24" t="s">
        <v>57</v>
      </c>
      <c r="F79" t="s">
        <v>58</v>
      </c>
      <c r="G79" s="1" t="s">
        <v>59</v>
      </c>
      <c r="H79" t="s">
        <v>124</v>
      </c>
    </row>
    <row r="80" spans="1:8" ht="12.75">
      <c r="A80" s="24">
        <v>327</v>
      </c>
      <c r="C80" s="24" t="s">
        <v>57</v>
      </c>
      <c r="F80" t="s">
        <v>58</v>
      </c>
      <c r="G80" s="1" t="s">
        <v>53</v>
      </c>
      <c r="H80" t="s">
        <v>62</v>
      </c>
    </row>
    <row r="81" spans="1:10" ht="12.75">
      <c r="A81" s="29" t="s">
        <v>127</v>
      </c>
      <c r="B81" s="25"/>
      <c r="C81" s="26"/>
      <c r="D81" s="25"/>
      <c r="E81" s="25"/>
      <c r="F81" s="25"/>
      <c r="G81" s="27"/>
      <c r="H81" s="25"/>
      <c r="I81" s="25"/>
      <c r="J81" s="28"/>
    </row>
    <row r="82" spans="1:8" ht="12.75">
      <c r="A82" s="24" t="s">
        <v>125</v>
      </c>
      <c r="C82" s="24" t="s">
        <v>57</v>
      </c>
      <c r="F82" t="s">
        <v>58</v>
      </c>
      <c r="G82" s="1" t="s">
        <v>53</v>
      </c>
      <c r="H82" t="s">
        <v>126</v>
      </c>
    </row>
    <row r="83" spans="1:8" ht="12.75">
      <c r="A83" s="24" t="s">
        <v>128</v>
      </c>
      <c r="C83" s="24" t="s">
        <v>57</v>
      </c>
      <c r="F83" t="s">
        <v>58</v>
      </c>
      <c r="G83" s="1" t="s">
        <v>59</v>
      </c>
      <c r="H83" t="s">
        <v>122</v>
      </c>
    </row>
    <row r="84" spans="1:8" ht="12.75">
      <c r="A84" s="24">
        <v>344</v>
      </c>
      <c r="C84" s="24" t="s">
        <v>57</v>
      </c>
      <c r="F84" t="s">
        <v>58</v>
      </c>
      <c r="G84" s="1" t="s">
        <v>59</v>
      </c>
      <c r="H84" t="s">
        <v>118</v>
      </c>
    </row>
    <row r="85" spans="1:8" ht="12.75">
      <c r="A85" s="30">
        <v>345</v>
      </c>
      <c r="C85" s="24" t="s">
        <v>57</v>
      </c>
      <c r="F85" t="s">
        <v>58</v>
      </c>
      <c r="G85" s="1" t="s">
        <v>53</v>
      </c>
      <c r="H85" t="s">
        <v>73</v>
      </c>
    </row>
    <row r="86" spans="1:8" ht="12.75">
      <c r="A86" s="30" t="s">
        <v>158</v>
      </c>
      <c r="C86" s="24" t="s">
        <v>159</v>
      </c>
      <c r="F86" t="s">
        <v>93</v>
      </c>
      <c r="G86" s="1" t="s">
        <v>53</v>
      </c>
      <c r="H86" t="s">
        <v>73</v>
      </c>
    </row>
    <row r="87" spans="1:8" ht="12.75">
      <c r="A87" s="30" t="s">
        <v>129</v>
      </c>
      <c r="C87" s="24" t="s">
        <v>57</v>
      </c>
      <c r="F87" t="s">
        <v>58</v>
      </c>
      <c r="G87" s="1" t="s">
        <v>59</v>
      </c>
      <c r="H87" t="s">
        <v>130</v>
      </c>
    </row>
    <row r="88" spans="1:8" ht="12.75">
      <c r="A88">
        <v>351</v>
      </c>
      <c r="C88" s="24" t="s">
        <v>57</v>
      </c>
      <c r="F88" t="s">
        <v>58</v>
      </c>
      <c r="G88" s="1" t="s">
        <v>59</v>
      </c>
      <c r="H88" t="s">
        <v>104</v>
      </c>
    </row>
    <row r="89" spans="1:8" ht="12.75">
      <c r="A89" s="24" t="s">
        <v>131</v>
      </c>
      <c r="C89" s="24" t="s">
        <v>57</v>
      </c>
      <c r="F89" t="s">
        <v>77</v>
      </c>
      <c r="G89" s="1" t="s">
        <v>53</v>
      </c>
      <c r="H89" t="s">
        <v>132</v>
      </c>
    </row>
    <row r="90" spans="1:8" ht="12.75">
      <c r="A90" s="24">
        <v>356</v>
      </c>
      <c r="C90" s="24" t="s">
        <v>57</v>
      </c>
      <c r="F90" t="s">
        <v>58</v>
      </c>
      <c r="G90" s="1" t="s">
        <v>59</v>
      </c>
      <c r="H90" t="s">
        <v>104</v>
      </c>
    </row>
    <row r="91" spans="1:8" ht="12.75">
      <c r="A91" s="24" t="s">
        <v>133</v>
      </c>
      <c r="C91" s="24" t="s">
        <v>57</v>
      </c>
      <c r="F91" t="s">
        <v>58</v>
      </c>
      <c r="G91" s="1" t="s">
        <v>53</v>
      </c>
      <c r="H91" t="s">
        <v>134</v>
      </c>
    </row>
    <row r="92" spans="1:8" ht="12.75">
      <c r="A92" s="24" t="s">
        <v>135</v>
      </c>
      <c r="C92" s="24" t="s">
        <v>57</v>
      </c>
      <c r="F92" t="s">
        <v>93</v>
      </c>
      <c r="G92" s="1" t="s">
        <v>53</v>
      </c>
      <c r="H92" t="s">
        <v>136</v>
      </c>
    </row>
    <row r="93" spans="1:8" ht="12.75">
      <c r="A93" s="24">
        <v>376</v>
      </c>
      <c r="C93" s="24" t="s">
        <v>57</v>
      </c>
      <c r="F93" t="s">
        <v>58</v>
      </c>
      <c r="G93" s="1" t="s">
        <v>59</v>
      </c>
      <c r="H93" t="s">
        <v>118</v>
      </c>
    </row>
    <row r="94" spans="1:8" ht="12.75">
      <c r="A94">
        <v>377</v>
      </c>
      <c r="C94" s="24" t="s">
        <v>57</v>
      </c>
      <c r="F94" t="s">
        <v>58</v>
      </c>
      <c r="G94" s="1" t="s">
        <v>59</v>
      </c>
      <c r="H94" t="s">
        <v>136</v>
      </c>
    </row>
    <row r="95" spans="1:8" ht="12.75">
      <c r="A95" s="24" t="s">
        <v>137</v>
      </c>
      <c r="C95" s="24" t="s">
        <v>57</v>
      </c>
      <c r="F95" t="s">
        <v>58</v>
      </c>
      <c r="G95" s="1" t="s">
        <v>53</v>
      </c>
      <c r="H95" t="s">
        <v>138</v>
      </c>
    </row>
    <row r="96" spans="1:8" ht="12.75">
      <c r="A96" s="24" t="s">
        <v>139</v>
      </c>
      <c r="C96" s="24" t="s">
        <v>57</v>
      </c>
      <c r="F96" t="s">
        <v>58</v>
      </c>
      <c r="G96" s="1" t="s">
        <v>59</v>
      </c>
      <c r="H96" t="s">
        <v>123</v>
      </c>
    </row>
    <row r="97" spans="1:8" ht="12.75">
      <c r="A97" s="24" t="s">
        <v>140</v>
      </c>
      <c r="C97" s="24" t="s">
        <v>57</v>
      </c>
      <c r="F97" t="s">
        <v>58</v>
      </c>
      <c r="G97" s="1" t="s">
        <v>53</v>
      </c>
      <c r="H97" t="s">
        <v>138</v>
      </c>
    </row>
    <row r="98" spans="1:8" ht="12.75">
      <c r="A98" s="24">
        <v>397</v>
      </c>
      <c r="C98" s="24" t="s">
        <v>57</v>
      </c>
      <c r="F98" t="s">
        <v>58</v>
      </c>
      <c r="G98" s="1" t="s">
        <v>59</v>
      </c>
      <c r="H98" t="s">
        <v>120</v>
      </c>
    </row>
    <row r="99" spans="1:8" ht="12.75">
      <c r="A99" s="24" t="s">
        <v>156</v>
      </c>
      <c r="C99" s="24" t="s">
        <v>57</v>
      </c>
      <c r="F99" t="s">
        <v>97</v>
      </c>
      <c r="G99" s="1" t="s">
        <v>53</v>
      </c>
      <c r="H99" t="s">
        <v>73</v>
      </c>
    </row>
    <row r="100" spans="1:8" ht="12.75">
      <c r="A100" s="24">
        <v>404</v>
      </c>
      <c r="C100" s="24" t="s">
        <v>57</v>
      </c>
      <c r="F100" t="s">
        <v>58</v>
      </c>
      <c r="G100" s="1" t="s">
        <v>59</v>
      </c>
      <c r="H100" t="s">
        <v>104</v>
      </c>
    </row>
    <row r="101" spans="1:8" ht="12.75">
      <c r="A101" s="24">
        <v>405</v>
      </c>
      <c r="C101" s="24" t="s">
        <v>57</v>
      </c>
      <c r="F101" t="s">
        <v>58</v>
      </c>
      <c r="G101" s="1" t="s">
        <v>59</v>
      </c>
      <c r="H101" t="s">
        <v>141</v>
      </c>
    </row>
    <row r="102" spans="1:8" ht="12.75">
      <c r="A102" s="24">
        <v>406</v>
      </c>
      <c r="C102" s="24" t="s">
        <v>57</v>
      </c>
      <c r="F102" t="s">
        <v>58</v>
      </c>
      <c r="G102" s="1" t="s">
        <v>59</v>
      </c>
      <c r="H102" t="s">
        <v>142</v>
      </c>
    </row>
    <row r="103" spans="1:8" ht="12.75">
      <c r="A103" s="24">
        <v>407</v>
      </c>
      <c r="C103" s="24" t="s">
        <v>57</v>
      </c>
      <c r="F103" t="s">
        <v>58</v>
      </c>
      <c r="G103" s="1" t="s">
        <v>53</v>
      </c>
      <c r="H103" t="s">
        <v>143</v>
      </c>
    </row>
    <row r="104" spans="1:8" ht="12.75">
      <c r="A104" s="24">
        <v>408</v>
      </c>
      <c r="C104" s="24" t="s">
        <v>57</v>
      </c>
      <c r="F104" t="s">
        <v>58</v>
      </c>
      <c r="G104" s="1" t="s">
        <v>59</v>
      </c>
      <c r="H104" t="s">
        <v>144</v>
      </c>
    </row>
    <row r="105" spans="1:8" ht="12.75">
      <c r="A105" s="24">
        <v>409</v>
      </c>
      <c r="C105" s="24" t="s">
        <v>57</v>
      </c>
      <c r="F105" t="s">
        <v>58</v>
      </c>
      <c r="G105" s="1" t="s">
        <v>59</v>
      </c>
      <c r="H105" t="s">
        <v>145</v>
      </c>
    </row>
    <row r="106" spans="1:8" ht="12.75">
      <c r="A106" s="24" t="s">
        <v>147</v>
      </c>
      <c r="C106" s="24" t="s">
        <v>57</v>
      </c>
      <c r="F106" t="s">
        <v>58</v>
      </c>
      <c r="G106" s="1" t="s">
        <v>53</v>
      </c>
      <c r="H106" t="s">
        <v>146</v>
      </c>
    </row>
    <row r="107" spans="1:8" ht="12.75">
      <c r="A107" s="24">
        <v>414</v>
      </c>
      <c r="C107" s="24" t="s">
        <v>57</v>
      </c>
      <c r="F107" t="s">
        <v>58</v>
      </c>
      <c r="G107" s="1" t="s">
        <v>59</v>
      </c>
      <c r="H107" t="s">
        <v>148</v>
      </c>
    </row>
    <row r="108" spans="1:11" ht="12.75">
      <c r="A108" s="31" t="s">
        <v>157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D1">
      <selection activeCell="A1" sqref="A1"/>
    </sheetView>
  </sheetViews>
  <sheetFormatPr defaultColWidth="9.140625" defaultRowHeight="12.75"/>
  <cols>
    <col min="5" max="5" width="14.140625" style="0" bestFit="1" customWidth="1"/>
    <col min="9" max="9" width="12.8515625" style="0" customWidth="1"/>
    <col min="10" max="10" width="11.57421875" style="0" customWidth="1"/>
    <col min="12" max="12" width="12.421875" style="0" bestFit="1" customWidth="1"/>
    <col min="13" max="13" width="11.140625" style="0" customWidth="1"/>
    <col min="14" max="14" width="10.421875" style="0" bestFit="1" customWidth="1"/>
  </cols>
  <sheetData>
    <row r="1" ht="20.25">
      <c r="A1" s="6" t="s">
        <v>13</v>
      </c>
    </row>
    <row r="4" spans="1:8" ht="15">
      <c r="A4" s="8" t="s">
        <v>14</v>
      </c>
      <c r="H4" s="8" t="s">
        <v>15</v>
      </c>
    </row>
    <row r="6" spans="1:14" ht="12.75">
      <c r="A6" s="34" t="s">
        <v>5</v>
      </c>
      <c r="B6" s="37"/>
      <c r="D6" s="34" t="s">
        <v>6</v>
      </c>
      <c r="E6" s="37"/>
      <c r="H6" s="34" t="s">
        <v>5</v>
      </c>
      <c r="I6" s="35"/>
      <c r="J6" s="36"/>
      <c r="L6" s="34" t="s">
        <v>6</v>
      </c>
      <c r="M6" s="35"/>
      <c r="N6" s="36"/>
    </row>
    <row r="7" spans="1:15" ht="12.75">
      <c r="A7" s="1" t="s">
        <v>0</v>
      </c>
      <c r="B7">
        <v>0</v>
      </c>
      <c r="D7" s="1" t="s">
        <v>0</v>
      </c>
      <c r="E7">
        <v>3</v>
      </c>
      <c r="H7" s="1" t="s">
        <v>0</v>
      </c>
      <c r="I7">
        <v>4</v>
      </c>
      <c r="J7">
        <v>2</v>
      </c>
      <c r="L7" s="1" t="s">
        <v>0</v>
      </c>
      <c r="M7" s="11">
        <v>1</v>
      </c>
      <c r="N7" s="11">
        <v>3</v>
      </c>
      <c r="O7" s="11">
        <v>2</v>
      </c>
    </row>
    <row r="8" spans="1:15" ht="12.75">
      <c r="A8" s="1" t="s">
        <v>1</v>
      </c>
      <c r="B8">
        <v>0</v>
      </c>
      <c r="D8" s="1" t="s">
        <v>1</v>
      </c>
      <c r="E8">
        <v>3</v>
      </c>
      <c r="H8" s="1" t="s">
        <v>1</v>
      </c>
      <c r="I8">
        <v>0</v>
      </c>
      <c r="J8">
        <v>2</v>
      </c>
      <c r="L8" s="1" t="s">
        <v>1</v>
      </c>
      <c r="M8" s="11">
        <v>1</v>
      </c>
      <c r="N8" s="11">
        <v>3</v>
      </c>
      <c r="O8" s="11">
        <v>2</v>
      </c>
    </row>
    <row r="9" spans="1:15" ht="12.75">
      <c r="A9" s="1" t="s">
        <v>2</v>
      </c>
      <c r="B9">
        <v>4</v>
      </c>
      <c r="D9" s="1" t="s">
        <v>2</v>
      </c>
      <c r="E9">
        <v>3</v>
      </c>
      <c r="H9" s="1" t="s">
        <v>2</v>
      </c>
      <c r="I9">
        <v>0</v>
      </c>
      <c r="J9">
        <v>0</v>
      </c>
      <c r="L9" s="1" t="s">
        <v>2</v>
      </c>
      <c r="M9" s="11">
        <v>1</v>
      </c>
      <c r="N9" s="11">
        <v>3</v>
      </c>
      <c r="O9" s="11">
        <v>0</v>
      </c>
    </row>
    <row r="10" spans="12:14" ht="12.75">
      <c r="L10" s="11"/>
      <c r="M10" s="11"/>
      <c r="N10" s="11"/>
    </row>
    <row r="11" spans="1:15" ht="12.75">
      <c r="A11" s="1" t="s">
        <v>3</v>
      </c>
      <c r="B11" s="2">
        <v>3.5597E-10</v>
      </c>
      <c r="D11" s="1" t="s">
        <v>3</v>
      </c>
      <c r="E11" s="2">
        <v>5.4308E-10</v>
      </c>
      <c r="H11" s="1" t="s">
        <v>3</v>
      </c>
      <c r="I11" s="2">
        <v>3.5597E-10</v>
      </c>
      <c r="J11" s="2">
        <v>3.5597E-10</v>
      </c>
      <c r="L11" s="1" t="s">
        <v>3</v>
      </c>
      <c r="M11" s="12">
        <v>5.4308E-10</v>
      </c>
      <c r="N11" s="12">
        <v>5.4308E-10</v>
      </c>
      <c r="O11" s="12">
        <v>5.4308E-10</v>
      </c>
    </row>
    <row r="12" spans="1:15" ht="12.75">
      <c r="A12" s="3" t="s">
        <v>2</v>
      </c>
      <c r="B12" s="2">
        <v>1E-10</v>
      </c>
      <c r="D12" s="3" t="s">
        <v>2</v>
      </c>
      <c r="E12" s="2">
        <v>1E-10</v>
      </c>
      <c r="H12" s="3" t="s">
        <v>2</v>
      </c>
      <c r="I12" s="2">
        <f>1239.8/M24*0.000000001</f>
        <v>8.265333333333334E-11</v>
      </c>
      <c r="J12" s="2">
        <f>1239.8/N24*0.000000001</f>
        <v>2.7551111111111113E-11</v>
      </c>
      <c r="L12" s="3" t="s">
        <v>2</v>
      </c>
      <c r="M12" s="12">
        <f>1239.8/M24*0.000000001</f>
        <v>8.265333333333334E-11</v>
      </c>
      <c r="N12" s="12">
        <f>1239.8/N24*0.000000001</f>
        <v>2.7551111111111113E-11</v>
      </c>
      <c r="O12" s="12">
        <f>1239.8/O24*0.000000001</f>
        <v>8.265333333333334E-11</v>
      </c>
    </row>
    <row r="13" spans="1:15" ht="12.75">
      <c r="A13" s="1" t="s">
        <v>1</v>
      </c>
      <c r="B13" s="2">
        <f>2*PI()/B12</f>
        <v>62831853071.79586</v>
      </c>
      <c r="D13" s="1" t="s">
        <v>1</v>
      </c>
      <c r="E13" s="2">
        <f>2*PI()/E12</f>
        <v>62831853071.79586</v>
      </c>
      <c r="F13" s="2"/>
      <c r="H13" s="1" t="s">
        <v>1</v>
      </c>
      <c r="I13" s="2">
        <f>2*PI()/I12</f>
        <v>76018534931.19357</v>
      </c>
      <c r="J13" s="2">
        <f>2*PI()/J12</f>
        <v>228055604793.58072</v>
      </c>
      <c r="L13" s="1" t="s">
        <v>1</v>
      </c>
      <c r="M13" s="12">
        <f>2*PI()/M12</f>
        <v>76018534931.19357</v>
      </c>
      <c r="N13" s="12">
        <f>2*PI()/N12</f>
        <v>228055604793.58072</v>
      </c>
      <c r="O13" s="12">
        <f>2*PI()/O12</f>
        <v>76018534931.19357</v>
      </c>
    </row>
    <row r="14" spans="1:15" ht="12.75">
      <c r="A14" s="1" t="s">
        <v>9</v>
      </c>
      <c r="B14" s="2">
        <f>0.000000197*B13</f>
        <v>12377.875055143784</v>
      </c>
      <c r="D14" s="1" t="s">
        <v>9</v>
      </c>
      <c r="E14" s="2">
        <f>0.000000197*E13</f>
        <v>12377.875055143784</v>
      </c>
      <c r="F14" s="2"/>
      <c r="H14" s="1" t="s">
        <v>9</v>
      </c>
      <c r="I14" s="2">
        <f>0.000000197326*I13</f>
        <v>15000.433423832703</v>
      </c>
      <c r="J14" s="2">
        <f>0.000000197326*J13</f>
        <v>45001.30027149811</v>
      </c>
      <c r="L14" s="1" t="s">
        <v>9</v>
      </c>
      <c r="M14" s="12">
        <f>0.000000197326*M13</f>
        <v>15000.433423832703</v>
      </c>
      <c r="N14" s="12">
        <f>0.000000197326*N13</f>
        <v>45001.30027149811</v>
      </c>
      <c r="O14" s="12">
        <f>0.000000197326*O13</f>
        <v>15000.433423832703</v>
      </c>
    </row>
    <row r="15" spans="1:15" ht="12.75">
      <c r="A15" s="1" t="s">
        <v>4</v>
      </c>
      <c r="B15" s="2">
        <f>SQRT(B7*B7+B8*B8+B9*B9)*2*PI()/B11</f>
        <v>70603537457.42154</v>
      </c>
      <c r="D15" s="1" t="s">
        <v>4</v>
      </c>
      <c r="E15" s="2">
        <f>SQRT(E7*E7+E8*E8+E9*E9)*2*PI()/E11</f>
        <v>60117088746.07042</v>
      </c>
      <c r="H15" s="1" t="s">
        <v>4</v>
      </c>
      <c r="I15" s="2">
        <f>SQRT(I7*I7+I8*I8+I9*I9)*2*PI()/I11</f>
        <v>70603537457.42154</v>
      </c>
      <c r="J15" s="2">
        <f>SQRT(J7*J7+J8*J8+J9*J9)*2*PI()/J11</f>
        <v>49924240111.901184</v>
      </c>
      <c r="L15" s="1" t="s">
        <v>4</v>
      </c>
      <c r="M15" s="12">
        <f>SQRT(M7*M7+M8*M8+M9*M9)*2*PI()/M11</f>
        <v>20039029582.02347</v>
      </c>
      <c r="N15" s="12">
        <f>SQRT(N7*N7+N8*N8+N9*N9)*2*PI()/N11</f>
        <v>60117088746.07042</v>
      </c>
      <c r="O15" s="12">
        <f>SQRT(O7*O7+O8*O8+O9*O9)*2*PI()/O11</f>
        <v>32723598277.66345</v>
      </c>
    </row>
    <row r="16" spans="1:15" ht="12.75">
      <c r="A16" s="3" t="s">
        <v>4</v>
      </c>
      <c r="B16">
        <f>DEGREES(ASIN(B15/(2*B13)))</f>
        <v>34.18349493457596</v>
      </c>
      <c r="D16" s="3" t="s">
        <v>4</v>
      </c>
      <c r="E16">
        <f>DEGREES(ASIN(E15/(2*E13)))</f>
        <v>28.580733172049925</v>
      </c>
      <c r="H16" s="3" t="s">
        <v>4</v>
      </c>
      <c r="I16" s="10">
        <f>DEGREES(ASIN(I15/(2*I13)))</f>
        <v>27.6703436404733</v>
      </c>
      <c r="J16" s="10">
        <f>DEGREES(ASIN(J15/(2*J13)))</f>
        <v>6.283973938449967</v>
      </c>
      <c r="L16" s="3" t="s">
        <v>4</v>
      </c>
      <c r="M16" s="13">
        <f>DEGREES(ASIN(M15/(2*M13)))</f>
        <v>7.573826558133016</v>
      </c>
      <c r="N16" s="13">
        <f>DEGREES(ASIN(N15/(2*N13)))</f>
        <v>7.573826558133016</v>
      </c>
      <c r="O16" s="13">
        <f>DEGREES(ASIN(O15/(2*O13)))</f>
        <v>12.42927583374225</v>
      </c>
    </row>
    <row r="17" spans="1:15" ht="12.75">
      <c r="A17" s="3" t="s">
        <v>7</v>
      </c>
      <c r="B17">
        <f>B16*2</f>
        <v>68.36698986915192</v>
      </c>
      <c r="D17" s="3" t="s">
        <v>7</v>
      </c>
      <c r="E17">
        <f>E16*2</f>
        <v>57.16146634409985</v>
      </c>
      <c r="H17" s="3" t="s">
        <v>7</v>
      </c>
      <c r="I17" s="10">
        <f>I16*2</f>
        <v>55.3406872809466</v>
      </c>
      <c r="J17" s="10">
        <f>J16*2</f>
        <v>12.567947876899934</v>
      </c>
      <c r="L17" s="3" t="s">
        <v>7</v>
      </c>
      <c r="M17" s="13">
        <f>M16*2</f>
        <v>15.147653116266032</v>
      </c>
      <c r="N17" s="13">
        <f>N16*2</f>
        <v>15.147653116266032</v>
      </c>
      <c r="O17" s="13">
        <f>O16*2</f>
        <v>24.8585516674845</v>
      </c>
    </row>
    <row r="20" spans="1:15" ht="12.75">
      <c r="A20" t="s">
        <v>18</v>
      </c>
      <c r="E20" s="2">
        <f>0.001/80</f>
        <v>1.25E-05</v>
      </c>
      <c r="H20" t="s">
        <v>18</v>
      </c>
      <c r="M20" s="2">
        <f>0.00139/(10.1*M23+4.4)</f>
        <v>1.5323888280467874E-05</v>
      </c>
      <c r="N20" s="2">
        <f>0.00139/(10.1*N23+4.4)</f>
        <v>1.5323888280467874E-05</v>
      </c>
      <c r="O20" s="2">
        <f>M20</f>
        <v>1.5323888280467874E-05</v>
      </c>
    </row>
    <row r="21" spans="1:15" ht="12.75">
      <c r="A21" t="s">
        <v>20</v>
      </c>
      <c r="E21" s="2">
        <f>E20*(1-COS(RADIANS(B16))/SQRT(POWER(B15/E15,2)-POWER(SIN(RADIANS(B16)),2)))</f>
        <v>2.473516975340351E-06</v>
      </c>
      <c r="H21" t="s">
        <v>8</v>
      </c>
      <c r="I21" s="4"/>
      <c r="M21" s="2">
        <f>M20*(1-COS(RADIANS(I16))/SQRT(POWER(I15/M15,2)-POWER(SIN(RADIANS(I16)),2)))</f>
        <v>1.1438101109951484E-05</v>
      </c>
      <c r="N21" s="2">
        <f>N20*(1-COS(RADIANS(J16))/SQRT(POWER(J15/N15,2)-POWER(SIN(RADIANS(J16)),2)))</f>
        <v>-3.1791755235172015E-06</v>
      </c>
      <c r="O21" s="2">
        <f>O20*(1-COS(RADIANS(I16))/SQRT(POWER(I15/O15,2)-POWER(SIN(RADIANS(I16)),2)))</f>
        <v>8.882820174548603E-06</v>
      </c>
    </row>
    <row r="22" spans="5:15" ht="12.75">
      <c r="E22">
        <f>DEGREES(ASIN(SIN(RADIANS(M16))*SQRT(2)))</f>
        <v>10.74267341547463</v>
      </c>
      <c r="H22" t="s">
        <v>17</v>
      </c>
      <c r="M22" s="9">
        <v>6</v>
      </c>
      <c r="N22" s="9">
        <v>6</v>
      </c>
      <c r="O22">
        <v>0</v>
      </c>
    </row>
    <row r="23" spans="8:15" ht="12.75">
      <c r="H23" t="s">
        <v>16</v>
      </c>
      <c r="M23" s="9">
        <f>SIN(RADIANS(M16+M22))/SIN(RADIANS(M16-M22))</f>
        <v>8.54535132789004</v>
      </c>
      <c r="N23" s="9">
        <f>SIN(RADIANS(N16+N22))/SIN(RADIANS(N16-N22))</f>
        <v>8.54535132789004</v>
      </c>
      <c r="O23" s="9">
        <f>SIN(RADIANS(O16+O22))/SIN(RADIANS(O16-O22))</f>
        <v>1</v>
      </c>
    </row>
    <row r="24" spans="5:15" ht="12.75">
      <c r="E24" s="17"/>
      <c r="H24" t="s">
        <v>19</v>
      </c>
      <c r="M24" s="2">
        <v>15000</v>
      </c>
      <c r="N24" s="2">
        <v>45000</v>
      </c>
      <c r="O24" s="2">
        <v>15000</v>
      </c>
    </row>
    <row r="25" spans="8:15" ht="12.75">
      <c r="H25" t="s">
        <v>21</v>
      </c>
      <c r="I25" s="5"/>
      <c r="M25" s="2">
        <f>4*(PI()/180/60/60)</f>
        <v>1.939254724438144E-05</v>
      </c>
      <c r="N25" s="2">
        <f>0.2*(PI()/180/60/60)</f>
        <v>9.69627362219072E-07</v>
      </c>
      <c r="O25" s="2">
        <f>2.6*(PI()/180/60/60)</f>
        <v>1.2605155708847936E-05</v>
      </c>
    </row>
    <row r="26" spans="5:15" ht="12.75">
      <c r="E26" s="10"/>
      <c r="H26" t="s">
        <v>22</v>
      </c>
      <c r="M26" s="2">
        <f>M14/TAN(RADIANS(M16))*M25</f>
        <v>2.1877918381711434</v>
      </c>
      <c r="N26" s="2">
        <f>N14/TAN(RADIANS(N16))*N25</f>
        <v>0.32816877572567155</v>
      </c>
      <c r="O26" s="2">
        <f>O14/TAN(RADIANS(O16))*O25</f>
        <v>0.8579075171808298</v>
      </c>
    </row>
    <row r="27" spans="8:15" ht="12.75">
      <c r="H27" t="s">
        <v>8</v>
      </c>
      <c r="M27" s="2">
        <f>M26*TAN(RADIANS(I16))/I14</f>
        <v>7.647594024227143E-05</v>
      </c>
      <c r="N27" s="2">
        <f>N26*TAN(RADIANS(J16))/J14</f>
        <v>8.030270840405195E-07</v>
      </c>
      <c r="O27" s="2">
        <f>O26*TAN(RADIANS(I16))/I14</f>
        <v>2.998881469096339E-05</v>
      </c>
    </row>
    <row r="28" spans="8:14" ht="12.75">
      <c r="H28" t="s">
        <v>23</v>
      </c>
      <c r="M28" s="14">
        <f>0.001486/14.5</f>
        <v>0.00010248275862068965</v>
      </c>
      <c r="N28" s="14">
        <f>0.001486/14.5</f>
        <v>0.00010248275862068965</v>
      </c>
    </row>
    <row r="29" spans="5:14" ht="12.75">
      <c r="E29" s="2"/>
      <c r="H29" t="s">
        <v>24</v>
      </c>
      <c r="M29" s="14">
        <f>6*M28*M28</f>
        <v>6.301629488703923E-08</v>
      </c>
      <c r="N29" s="14">
        <f>6*N28*N28</f>
        <v>6.301629488703923E-08</v>
      </c>
    </row>
    <row r="30" spans="8:14" ht="12.75">
      <c r="H30" t="s">
        <v>25</v>
      </c>
      <c r="M30" s="15">
        <v>300</v>
      </c>
      <c r="N30" s="15">
        <v>300</v>
      </c>
    </row>
    <row r="31" spans="8:14" ht="12.75">
      <c r="H31" t="s">
        <v>26</v>
      </c>
      <c r="M31" s="10">
        <f>M30*M28</f>
        <v>0.030744827586206894</v>
      </c>
      <c r="N31" s="10">
        <f>N30*N28</f>
        <v>0.030744827586206894</v>
      </c>
    </row>
    <row r="32" spans="8:14" ht="12.75">
      <c r="H32" t="s">
        <v>27</v>
      </c>
      <c r="M32" s="10">
        <f>M30*M20</f>
        <v>0.004597166484140362</v>
      </c>
      <c r="N32" s="10">
        <f>N30*N20</f>
        <v>0.004597166484140362</v>
      </c>
    </row>
  </sheetData>
  <mergeCells count="4">
    <mergeCell ref="L6:N6"/>
    <mergeCell ref="H6:J6"/>
    <mergeCell ref="A6:B6"/>
    <mergeCell ref="D6:E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19" sqref="F19"/>
    </sheetView>
  </sheetViews>
  <sheetFormatPr defaultColWidth="9.140625" defaultRowHeight="12.75"/>
  <sheetData>
    <row r="1" ht="20.25">
      <c r="A1" s="6" t="s">
        <v>44</v>
      </c>
    </row>
    <row r="3" spans="1:5" ht="12.75">
      <c r="A3" t="s">
        <v>33</v>
      </c>
      <c r="E3">
        <v>2.6941</v>
      </c>
    </row>
    <row r="4" spans="1:5" ht="12.75">
      <c r="A4" t="s">
        <v>34</v>
      </c>
      <c r="E4" s="10">
        <f>6.622+(8.108-6.622)/(15.401-14.407)*(15-14.407)</f>
        <v>7.508517102615695</v>
      </c>
    </row>
    <row r="5" spans="1:5" ht="12.75">
      <c r="A5" t="s">
        <v>35</v>
      </c>
      <c r="E5" s="10">
        <f>0.2391+(0.156-0.2391)/(47.88-44.791)*(45-44.791)</f>
        <v>0.23347750080932334</v>
      </c>
    </row>
    <row r="7" spans="5:7" ht="12.75">
      <c r="E7" s="1" t="s">
        <v>30</v>
      </c>
      <c r="F7" s="1" t="s">
        <v>31</v>
      </c>
      <c r="G7" s="1" t="s">
        <v>32</v>
      </c>
    </row>
    <row r="8" spans="1:7" ht="12.75">
      <c r="A8" t="s">
        <v>28</v>
      </c>
      <c r="D8" s="10">
        <f>E4*E3</f>
        <v>20.228695926156945</v>
      </c>
      <c r="E8" s="14">
        <f>EXP(-0.16*D8)</f>
        <v>0.03929761896065917</v>
      </c>
      <c r="F8" s="14">
        <f>EXP(-0.32*D8)</f>
        <v>0.0015443028559771594</v>
      </c>
      <c r="G8" s="14">
        <f>EXP(-0.48*D8)</f>
        <v>6.068742519404815E-05</v>
      </c>
    </row>
    <row r="9" spans="1:7" ht="12.75">
      <c r="A9" t="s">
        <v>29</v>
      </c>
      <c r="D9" s="10">
        <f>E5*E3</f>
        <v>0.6290117349303981</v>
      </c>
      <c r="E9" s="14">
        <f>EXP(-0.16*D9)</f>
        <v>0.9042568095354837</v>
      </c>
      <c r="F9" s="14">
        <f>EXP(-0.32*D9)</f>
        <v>0.8176803775912921</v>
      </c>
      <c r="G9" s="14">
        <f>EXP(-0.48*D9)</f>
        <v>0.7393930494604715</v>
      </c>
    </row>
    <row r="11" spans="4:7" ht="12.75">
      <c r="D11">
        <v>73600</v>
      </c>
      <c r="E11" s="16">
        <f>$D11*E8+170</f>
        <v>3062.304755504515</v>
      </c>
      <c r="F11" s="16">
        <f>$D11*F8+170</f>
        <v>283.6606901999189</v>
      </c>
      <c r="G11" s="16">
        <f>$D11*G8+170</f>
        <v>174.46659449428194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0"/>
  <sheetViews>
    <sheetView workbookViewId="0" topLeftCell="A1">
      <selection activeCell="F18" sqref="F18"/>
    </sheetView>
  </sheetViews>
  <sheetFormatPr defaultColWidth="9.140625" defaultRowHeight="12.75"/>
  <cols>
    <col min="6" max="6" width="11.421875" style="0" customWidth="1"/>
    <col min="7" max="7" width="11.7109375" style="0" customWidth="1"/>
  </cols>
  <sheetData>
    <row r="3" spans="1:7" ht="12.75">
      <c r="A3" t="s">
        <v>39</v>
      </c>
      <c r="F3" s="14">
        <v>15000</v>
      </c>
      <c r="G3" s="14">
        <v>15000</v>
      </c>
    </row>
    <row r="4" spans="1:7" ht="12.75">
      <c r="A4" t="s">
        <v>41</v>
      </c>
      <c r="F4" s="14">
        <v>3.5597E-10</v>
      </c>
      <c r="G4" s="14">
        <v>3.5597E-10</v>
      </c>
    </row>
    <row r="5" spans="1:7" ht="12.75">
      <c r="A5" t="s">
        <v>40</v>
      </c>
      <c r="F5" s="17">
        <f>DEGREES(ASIN(2*PI()*SQRT(8)*0.000000197326/(2*F4*F3)))</f>
        <v>19.17037767264051</v>
      </c>
      <c r="G5" s="17">
        <f>DEGREES(ASIN(2*PI()*SQRT(8)*0.000000197326/(2*G4*G3)))</f>
        <v>19.17037767264051</v>
      </c>
    </row>
    <row r="6" spans="1:7" ht="12.75">
      <c r="A6" t="s">
        <v>43</v>
      </c>
      <c r="F6" s="12">
        <v>5.4308E-10</v>
      </c>
      <c r="G6" s="12">
        <v>5.4308E-10</v>
      </c>
    </row>
    <row r="7" spans="1:7" ht="12.75">
      <c r="A7" t="s">
        <v>37</v>
      </c>
      <c r="F7" s="17">
        <f>DEGREES(ASIN(2*PI()*SQRT(16)*0.000000197326/(2*F6*F3)))</f>
        <v>17.721836553311622</v>
      </c>
      <c r="G7" s="17">
        <f>DEGREES(ASIN(2*PI()*SQRT(3)*0.000000197326/(2*G6*G3)))</f>
        <v>7.574046686970788</v>
      </c>
    </row>
    <row r="8" spans="1:7" ht="12.75">
      <c r="A8" t="s">
        <v>36</v>
      </c>
      <c r="F8" s="14">
        <f>1.638/60/60/180*PI()</f>
        <v>7.941248096574198E-06</v>
      </c>
      <c r="G8" s="14">
        <f>4/60/60/180*PI()</f>
        <v>1.939254724438144E-05</v>
      </c>
    </row>
    <row r="9" spans="1:7" ht="12.75">
      <c r="A9" t="s">
        <v>38</v>
      </c>
      <c r="F9" s="2">
        <f>F3/TAN(RADIANS(F7))*F8</f>
        <v>0.3727577338172311</v>
      </c>
      <c r="G9" s="2">
        <f>G3/TAN(RADIANS(G7))*G8</f>
        <v>2.187664293932485</v>
      </c>
    </row>
    <row r="10" spans="1:7" ht="12.75">
      <c r="A10" t="s">
        <v>42</v>
      </c>
      <c r="F10" s="2">
        <f>F9/F3*TAN(RADIANS(F5))</f>
        <v>8.639461768397472E-06</v>
      </c>
      <c r="G10" s="2">
        <f>G9/G3*TAN(RADIANS(G5))</f>
        <v>5.070382265706399E-05</v>
      </c>
    </row>
    <row r="14" ht="12.75">
      <c r="E14">
        <f>DEGREES(ATAN(61/208.5))</f>
        <v>16.307678644751874</v>
      </c>
    </row>
    <row r="15" ht="12.75">
      <c r="E15">
        <f>DEGREES(ATAN(80/264.5))</f>
        <v>16.82833329350088</v>
      </c>
    </row>
    <row r="18" ht="12.75">
      <c r="E18">
        <f>17*SIN(RADIANS(F7))</f>
        <v>5.174733988047636</v>
      </c>
    </row>
    <row r="19" ht="12.75">
      <c r="E19">
        <f>5/TAN(RADIANS(F7))</f>
        <v>15.646479801163593</v>
      </c>
    </row>
    <row r="20" ht="12.75">
      <c r="E20">
        <f>12*SIN(RADIANS(F7))</f>
        <v>3.6527534033277433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Jones</dc:creator>
  <cp:keywords/>
  <dc:description/>
  <cp:lastModifiedBy>Richard Jones</cp:lastModifiedBy>
  <dcterms:created xsi:type="dcterms:W3CDTF">2002-01-15T14:26:31Z</dcterms:created>
  <dcterms:modified xsi:type="dcterms:W3CDTF">2007-02-16T16:45:15Z</dcterms:modified>
  <cp:category/>
  <cp:version/>
  <cp:contentType/>
  <cp:contentStatus/>
</cp:coreProperties>
</file>